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@_Work\2014-2015\ICA_2014-2015\7_CAS\Tableur\"/>
    </mc:Choice>
  </mc:AlternateContent>
  <bookViews>
    <workbookView xWindow="0" yWindow="0" windowWidth="20160" windowHeight="9240" activeTab="2"/>
  </bookViews>
  <sheets>
    <sheet name="CAISSE" sheetId="5" r:id="rId1"/>
    <sheet name="OPERATIONS" sheetId="6" r:id="rId2"/>
    <sheet name="BILAN" sheetId="1" r:id="rId3"/>
  </sheets>
  <calcPr calcId="15251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4" i="1"/>
  <c r="G13" i="1"/>
  <c r="G12" i="1"/>
  <c r="G9" i="1"/>
  <c r="G8" i="1"/>
  <c r="G7" i="1"/>
  <c r="G6" i="1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G4" i="6"/>
  <c r="F4" i="6"/>
  <c r="J4" i="6"/>
  <c r="K8" i="1"/>
  <c r="K12" i="1"/>
  <c r="J8" i="1"/>
  <c r="J4" i="1"/>
  <c r="F4" i="1"/>
  <c r="H12" i="1"/>
  <c r="H18" i="1" l="1"/>
  <c r="H19" i="1"/>
  <c r="H20" i="1"/>
  <c r="H21" i="1"/>
  <c r="H24" i="1"/>
  <c r="Y3" i="6"/>
  <c r="AB3" i="6"/>
  <c r="R3" i="6"/>
  <c r="K3" i="6"/>
  <c r="L13" i="6"/>
  <c r="L3" i="6" s="1"/>
  <c r="J6" i="6"/>
  <c r="AA4" i="6"/>
  <c r="AA3" i="6" s="1"/>
  <c r="AI3" i="6"/>
  <c r="AH3" i="6"/>
  <c r="AG3" i="6"/>
  <c r="AF3" i="6"/>
  <c r="AE3" i="6"/>
  <c r="AD3" i="6"/>
  <c r="AC3" i="6"/>
  <c r="Z3" i="6"/>
  <c r="X3" i="6"/>
  <c r="W3" i="6"/>
  <c r="V3" i="6"/>
  <c r="U3" i="6"/>
  <c r="T3" i="6"/>
  <c r="S3" i="6"/>
  <c r="Q3" i="6"/>
  <c r="P3" i="6"/>
  <c r="O3" i="6"/>
  <c r="N3" i="6"/>
  <c r="M3" i="6"/>
  <c r="I3" i="6"/>
  <c r="H3" i="6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24" i="1"/>
  <c r="J23" i="1"/>
  <c r="K23" i="1" s="1"/>
  <c r="J22" i="1"/>
  <c r="K22" i="1" s="1"/>
  <c r="F15" i="1"/>
  <c r="G15" i="1" s="1"/>
  <c r="B14" i="1"/>
  <c r="F10" i="1"/>
  <c r="G10" i="1" s="1"/>
  <c r="H25" i="1" l="1"/>
  <c r="R2" i="6"/>
  <c r="J13" i="1" s="1"/>
  <c r="H2" i="6"/>
  <c r="J3" i="6"/>
  <c r="J2" i="6" s="1"/>
  <c r="T2" i="6"/>
  <c r="X2" i="6"/>
  <c r="AF2" i="6"/>
  <c r="J21" i="1" s="1"/>
  <c r="K21" i="1" s="1"/>
  <c r="P2" i="6"/>
  <c r="J9" i="1" s="1"/>
  <c r="AD2" i="6"/>
  <c r="AH2" i="6"/>
  <c r="J24" i="1" s="1"/>
  <c r="K24" i="1" s="1"/>
  <c r="Z2" i="6"/>
  <c r="J19" i="1" s="1"/>
  <c r="K19" i="1" s="1"/>
  <c r="L2" i="6"/>
  <c r="J7" i="1" s="1"/>
  <c r="AB2" i="6"/>
  <c r="J20" i="1" s="1"/>
  <c r="K20" i="1" s="1"/>
  <c r="N2" i="6"/>
  <c r="H8" i="1" s="1"/>
  <c r="V2" i="6"/>
  <c r="F2" i="5"/>
  <c r="J2" i="5"/>
  <c r="N2" i="5"/>
  <c r="D2" i="5"/>
  <c r="H2" i="5"/>
  <c r="L2" i="5"/>
  <c r="P2" i="5"/>
  <c r="H7" i="1" l="1"/>
  <c r="K7" i="1"/>
  <c r="H9" i="1"/>
  <c r="K9" i="1"/>
  <c r="H13" i="1"/>
  <c r="K13" i="1"/>
  <c r="J6" i="1"/>
  <c r="K6" i="1" s="1"/>
  <c r="J18" i="1"/>
  <c r="K18" i="1" s="1"/>
  <c r="B9" i="1"/>
  <c r="J10" i="1" l="1"/>
  <c r="H6" i="1"/>
  <c r="J25" i="1"/>
  <c r="J14" i="1" l="1"/>
  <c r="K14" i="1" s="1"/>
  <c r="K25" i="1"/>
  <c r="H10" i="1"/>
  <c r="K10" i="1"/>
  <c r="J15" i="1"/>
  <c r="H14" i="1"/>
  <c r="H15" i="1" l="1"/>
  <c r="K15" i="1"/>
</calcChain>
</file>

<file path=xl/sharedStrings.xml><?xml version="1.0" encoding="utf-8"?>
<sst xmlns="http://schemas.openxmlformats.org/spreadsheetml/2006/main" count="132" uniqueCount="122">
  <si>
    <t>Décompte final / Projet "ecol2com"</t>
  </si>
  <si>
    <t>Les montants sont en CHF</t>
  </si>
  <si>
    <t>BILAN</t>
  </si>
  <si>
    <t>Liquidité</t>
  </si>
  <si>
    <t>A recevoir</t>
  </si>
  <si>
    <t>Stock</t>
  </si>
  <si>
    <t>Autres actifs</t>
  </si>
  <si>
    <t>ACTIFS</t>
  </si>
  <si>
    <t>Avances à rembourser</t>
  </si>
  <si>
    <t>A payer</t>
  </si>
  <si>
    <t>Résultat</t>
  </si>
  <si>
    <t>PASSIF</t>
  </si>
  <si>
    <t>COMPTES DE RESULTAT</t>
  </si>
  <si>
    <t>Ventes</t>
  </si>
  <si>
    <t>Dons</t>
  </si>
  <si>
    <t>Achats</t>
  </si>
  <si>
    <t>Sécurité</t>
  </si>
  <si>
    <t>Déco</t>
  </si>
  <si>
    <t>Graphiste</t>
  </si>
  <si>
    <t>Autres charges</t>
  </si>
  <si>
    <t>Capital</t>
  </si>
  <si>
    <t>Café / Carasso (estimation)</t>
  </si>
  <si>
    <t>Bière / Murailles (estimation)</t>
  </si>
  <si>
    <t>Verres / Orangerie</t>
  </si>
  <si>
    <t>Samaritains (selon devis)</t>
  </si>
  <si>
    <t>RC / Generali</t>
  </si>
  <si>
    <t>Scène / LaTcho</t>
  </si>
  <si>
    <t>Location / DCTI</t>
  </si>
  <si>
    <t>No</t>
  </si>
  <si>
    <t>Date</t>
  </si>
  <si>
    <t>Libellé</t>
  </si>
  <si>
    <t>Caisse principale</t>
  </si>
  <si>
    <t>Caisse pâtes/frites</t>
  </si>
  <si>
    <t>Caisse raclette</t>
  </si>
  <si>
    <t>Caisse stand</t>
  </si>
  <si>
    <t>Caisse caf/creppe</t>
  </si>
  <si>
    <t>Caisse tonneau</t>
  </si>
  <si>
    <t>Banque</t>
  </si>
  <si>
    <t>Si</t>
  </si>
  <si>
    <t>Retrait bancomat</t>
  </si>
  <si>
    <t>Passage 19h</t>
  </si>
  <si>
    <t>Passage 20h30</t>
  </si>
  <si>
    <t>Passage 21h30</t>
  </si>
  <si>
    <t>Distribution caisse</t>
  </si>
  <si>
    <t>Passage 22h30</t>
  </si>
  <si>
    <t>Passage 23h30</t>
  </si>
  <si>
    <t>Clôture caisse 24h</t>
  </si>
  <si>
    <t>Passage 0h30</t>
  </si>
  <si>
    <t>Passage 1h</t>
  </si>
  <si>
    <t>Passage 1h30</t>
  </si>
  <si>
    <t>Clôture caisse 2h00</t>
  </si>
  <si>
    <t>Payement steward</t>
  </si>
  <si>
    <t>Payement vin</t>
  </si>
  <si>
    <t>Caisse</t>
  </si>
  <si>
    <t>Dettes fournisseur</t>
  </si>
  <si>
    <t>Revenus des boissons</t>
  </si>
  <si>
    <t>Revenus nouritures</t>
  </si>
  <si>
    <t>Revenus autres</t>
  </si>
  <si>
    <t>Achat boissons</t>
  </si>
  <si>
    <t>Achat nourritures</t>
  </si>
  <si>
    <t>Ass. &amp; securité</t>
  </si>
  <si>
    <t>ACE</t>
  </si>
  <si>
    <t>B001</t>
  </si>
  <si>
    <t>Solde</t>
  </si>
  <si>
    <t>C001</t>
  </si>
  <si>
    <t>n/ retrait p/ fonds caisse</t>
  </si>
  <si>
    <t>B002</t>
  </si>
  <si>
    <t>Versement caisse E2C (billets)</t>
  </si>
  <si>
    <t>V006a</t>
  </si>
  <si>
    <t>Ventes frites réalisées lors E2C</t>
  </si>
  <si>
    <t>V006b</t>
  </si>
  <si>
    <t>Ventes raclette réalisées lors E2C</t>
  </si>
  <si>
    <t>V006c</t>
  </si>
  <si>
    <t>Ventes stand réalisées lors E2C</t>
  </si>
  <si>
    <t>V006d</t>
  </si>
  <si>
    <t>Ventes crêpes réalisées lors E2C</t>
  </si>
  <si>
    <t>V006e</t>
  </si>
  <si>
    <t>Ventes tonneau réalisées lors E2C</t>
  </si>
  <si>
    <t>V006f</t>
  </si>
  <si>
    <t>Ventes vin réalisées lors E2C (net)</t>
  </si>
  <si>
    <t>B003</t>
  </si>
  <si>
    <t>R001a</t>
  </si>
  <si>
    <t>Décompte donnation du 24.05.12</t>
  </si>
  <si>
    <t>R001b</t>
  </si>
  <si>
    <t>R001c</t>
  </si>
  <si>
    <t>FB007</t>
  </si>
  <si>
    <t>Minérales / Reservoir</t>
  </si>
  <si>
    <t>FB009</t>
  </si>
  <si>
    <t>Frites / Bolay</t>
  </si>
  <si>
    <t>FB010</t>
  </si>
  <si>
    <t>FB011</t>
  </si>
  <si>
    <t>FB012</t>
  </si>
  <si>
    <t>FB013</t>
  </si>
  <si>
    <t>Services de table / Anselmi</t>
  </si>
  <si>
    <t>FA001</t>
  </si>
  <si>
    <t>FA002</t>
  </si>
  <si>
    <t>FA004</t>
  </si>
  <si>
    <t>FA005</t>
  </si>
  <si>
    <t>Print / Coprint</t>
  </si>
  <si>
    <t>FA006</t>
  </si>
  <si>
    <t>WC / BCH</t>
  </si>
  <si>
    <t>FA008</t>
  </si>
  <si>
    <t>Protection juridique (en attente facture)</t>
  </si>
  <si>
    <t>FA010</t>
  </si>
  <si>
    <t>FA011</t>
  </si>
  <si>
    <t>Sécurité / Securitas</t>
  </si>
  <si>
    <t>DIV</t>
  </si>
  <si>
    <t>Récupération de divers payement</t>
  </si>
  <si>
    <t>Payement groupé</t>
  </si>
  <si>
    <t>B006</t>
  </si>
  <si>
    <t>Don commune de Perly-Certoux</t>
  </si>
  <si>
    <t>Inventaire</t>
  </si>
  <si>
    <t>B007</t>
  </si>
  <si>
    <t>Don commune de la FED</t>
  </si>
  <si>
    <t>B008</t>
  </si>
  <si>
    <t>Créances</t>
  </si>
  <si>
    <t>Autres actifs immo.</t>
  </si>
  <si>
    <t>Variation</t>
  </si>
  <si>
    <t>Compte débité</t>
  </si>
  <si>
    <t>Compte crédité</t>
  </si>
  <si>
    <r>
      <rPr>
        <sz val="12"/>
        <color rgb="FF000000"/>
        <rFont val="Symbol"/>
        <family val="1"/>
        <charset val="2"/>
      </rPr>
      <t>S</t>
    </r>
    <r>
      <rPr>
        <sz val="12"/>
        <color rgb="FF000000"/>
        <rFont val="Calibri"/>
        <family val="2"/>
      </rPr>
      <t xml:space="preserve"> débitée</t>
    </r>
  </si>
  <si>
    <r>
      <rPr>
        <sz val="12"/>
        <color rgb="FF000000"/>
        <rFont val="Symbol"/>
        <family val="1"/>
        <charset val="2"/>
      </rPr>
      <t>S</t>
    </r>
    <r>
      <rPr>
        <sz val="12"/>
        <color rgb="FF000000"/>
        <rFont val="Calibri"/>
        <family val="2"/>
      </rPr>
      <t xml:space="preserve"> créditée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</si>
</sst>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\.mm\.yyyy;@"/>
    <numFmt numFmtId="165" formatCode="m/d/yyyy;@"/>
    <numFmt numFmtId="166" formatCode="_ * #,##0.00_ ;_ * \(#,##0.00_ ;_ * &quot;-&quot;??_ ;_ @_ "/>
  </numFmts>
  <fonts count="26" x14ac:knownFonts="1">
    <font>
      <sz val="10"/>
      <color rgb="FF000000"/>
      <name val="Arial"/>
    </font>
    <font>
      <sz val="12"/>
      <color rgb="FF000000"/>
      <name val="Courier New"/>
    </font>
    <font>
      <i/>
      <sz val="10"/>
      <color rgb="FF000000"/>
      <name val="Courier New"/>
    </font>
    <font>
      <sz val="12"/>
      <color rgb="FF000000"/>
      <name val="Courier New"/>
    </font>
    <font>
      <sz val="12"/>
      <color rgb="FF000000"/>
      <name val="Calibri"/>
    </font>
    <font>
      <sz val="12"/>
      <color rgb="FF000000"/>
      <name val="Calibri"/>
    </font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Courier New"/>
    </font>
    <font>
      <sz val="12"/>
      <color rgb="FF000000"/>
      <name val="Courier New"/>
    </font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Calibri"/>
    </font>
    <font>
      <u/>
      <sz val="12"/>
      <color rgb="FF000000"/>
      <name val="Courier New"/>
    </font>
    <font>
      <b/>
      <sz val="12"/>
      <color rgb="FF000000"/>
      <name val="Courier New"/>
    </font>
    <font>
      <sz val="10"/>
      <color rgb="FF000000"/>
      <name val="Arial"/>
    </font>
    <font>
      <sz val="10"/>
      <color rgb="FF000000"/>
      <name val="Courier New"/>
    </font>
    <font>
      <sz val="12"/>
      <color rgb="FF000000"/>
      <name val="Calibri"/>
    </font>
    <font>
      <sz val="10"/>
      <color rgb="FF000000"/>
      <name val="Courier New"/>
    </font>
    <font>
      <b/>
      <sz val="12"/>
      <color rgb="FF000000"/>
      <name val="Courier New"/>
    </font>
    <font>
      <sz val="12"/>
      <color rgb="FF000000"/>
      <name val="Calibri"/>
      <family val="2"/>
    </font>
    <font>
      <sz val="12"/>
      <color rgb="FF000000"/>
      <name val="Symbol"/>
      <family val="1"/>
      <charset val="2"/>
    </font>
    <font>
      <u/>
      <sz val="12"/>
      <color theme="1" tint="0.499984740745262"/>
      <name val="Courier New"/>
      <family val="3"/>
    </font>
    <font>
      <sz val="10"/>
      <color theme="1" tint="0.499984740745262"/>
      <name val="Arial"/>
      <family val="2"/>
    </font>
    <font>
      <sz val="12"/>
      <color theme="1" tint="0.499984740745262"/>
      <name val="Courier New"/>
      <family val="3"/>
    </font>
    <font>
      <b/>
      <sz val="12"/>
      <color theme="1" tint="0.49998474074526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1" fillId="0" borderId="0" xfId="0" applyFont="1"/>
    <xf numFmtId="43" fontId="2" fillId="0" borderId="0" xfId="0" applyNumberFormat="1" applyFont="1" applyAlignment="1">
      <alignment horizontal="right"/>
    </xf>
    <xf numFmtId="43" fontId="3" fillId="0" borderId="2" xfId="0" applyNumberFormat="1" applyFont="1" applyBorder="1"/>
    <xf numFmtId="43" fontId="8" fillId="0" borderId="0" xfId="0" applyNumberFormat="1" applyFont="1" applyAlignment="1">
      <alignment horizontal="right"/>
    </xf>
    <xf numFmtId="43" fontId="9" fillId="0" borderId="0" xfId="0" applyNumberFormat="1" applyFont="1"/>
    <xf numFmtId="164" fontId="13" fillId="0" borderId="0" xfId="0" applyNumberFormat="1" applyFont="1"/>
    <xf numFmtId="43" fontId="14" fillId="0" borderId="1" xfId="0" applyNumberFormat="1" applyFont="1" applyBorder="1"/>
    <xf numFmtId="0" fontId="16" fillId="0" borderId="0" xfId="0" applyFont="1" applyAlignment="1">
      <alignment horizontal="center" wrapText="1"/>
    </xf>
    <xf numFmtId="43" fontId="0" fillId="0" borderId="0" xfId="0" applyNumberFormat="1" applyAlignment="1">
      <alignment wrapText="1"/>
    </xf>
    <xf numFmtId="0" fontId="18" fillId="0" borderId="0" xfId="0" applyFont="1" applyAlignment="1">
      <alignment wrapText="1"/>
    </xf>
    <xf numFmtId="0" fontId="17" fillId="2" borderId="0" xfId="0" applyFont="1" applyFill="1"/>
    <xf numFmtId="164" fontId="7" fillId="2" borderId="0" xfId="0" applyNumberFormat="1" applyFont="1" applyFill="1"/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wrapText="1"/>
    </xf>
    <xf numFmtId="0" fontId="6" fillId="2" borderId="0" xfId="0" applyFont="1" applyFill="1" applyAlignment="1">
      <alignment wrapText="1"/>
    </xf>
    <xf numFmtId="43" fontId="0" fillId="2" borderId="0" xfId="0" applyNumberFormat="1" applyFill="1" applyAlignment="1">
      <alignment wrapText="1"/>
    </xf>
    <xf numFmtId="0" fontId="17" fillId="0" borderId="0" xfId="0" applyFont="1" applyFill="1"/>
    <xf numFmtId="164" fontId="7" fillId="0" borderId="0" xfId="0" applyNumberFormat="1" applyFont="1" applyFill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43" fontId="15" fillId="0" borderId="0" xfId="0" applyNumberFormat="1" applyFont="1" applyFill="1" applyAlignment="1">
      <alignment horizontal="center"/>
    </xf>
    <xf numFmtId="39" fontId="11" fillId="2" borderId="0" xfId="0" applyNumberFormat="1" applyFont="1" applyFill="1" applyAlignment="1">
      <alignment horizontal="center"/>
    </xf>
    <xf numFmtId="39" fontId="10" fillId="2" borderId="0" xfId="0" applyNumberFormat="1" applyFont="1" applyFill="1"/>
    <xf numFmtId="165" fontId="4" fillId="2" borderId="0" xfId="0" applyNumberFormat="1" applyFont="1" applyFill="1"/>
    <xf numFmtId="0" fontId="0" fillId="0" borderId="0" xfId="0" applyFill="1" applyAlignment="1">
      <alignment wrapText="1"/>
    </xf>
    <xf numFmtId="39" fontId="11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39" fontId="11" fillId="0" borderId="0" xfId="0" applyNumberFormat="1" applyFont="1" applyFill="1" applyAlignment="1">
      <alignment horizontal="center"/>
    </xf>
    <xf numFmtId="43" fontId="15" fillId="0" borderId="0" xfId="0" applyNumberFormat="1" applyFont="1" applyFill="1" applyAlignment="1">
      <alignment horizontal="center"/>
    </xf>
    <xf numFmtId="43" fontId="0" fillId="0" borderId="0" xfId="0" applyNumberFormat="1" applyFill="1" applyAlignment="1">
      <alignment wrapText="1"/>
    </xf>
    <xf numFmtId="43" fontId="5" fillId="0" borderId="0" xfId="0" applyNumberFormat="1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43" fontId="9" fillId="3" borderId="0" xfId="0" applyNumberFormat="1" applyFont="1" applyFill="1"/>
    <xf numFmtId="164" fontId="13" fillId="3" borderId="0" xfId="0" applyNumberFormat="1" applyFont="1" applyFill="1"/>
    <xf numFmtId="0" fontId="1" fillId="3" borderId="0" xfId="0" applyFont="1" applyFill="1"/>
    <xf numFmtId="0" fontId="0" fillId="3" borderId="0" xfId="0" applyFill="1" applyAlignment="1">
      <alignment wrapText="1"/>
    </xf>
    <xf numFmtId="43" fontId="8" fillId="3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center"/>
    </xf>
    <xf numFmtId="43" fontId="9" fillId="0" borderId="0" xfId="0" applyNumberFormat="1" applyFont="1" applyFill="1"/>
    <xf numFmtId="166" fontId="9" fillId="0" borderId="0" xfId="0" applyNumberFormat="1" applyFont="1"/>
    <xf numFmtId="166" fontId="3" fillId="0" borderId="2" xfId="0" applyNumberFormat="1" applyFont="1" applyBorder="1"/>
    <xf numFmtId="166" fontId="14" fillId="0" borderId="1" xfId="0" applyNumberFormat="1" applyFont="1" applyBorder="1"/>
    <xf numFmtId="166" fontId="1" fillId="3" borderId="0" xfId="0" applyNumberFormat="1" applyFont="1" applyFill="1"/>
    <xf numFmtId="164" fontId="13" fillId="0" borderId="0" xfId="0" applyNumberFormat="1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166" fontId="1" fillId="3" borderId="0" xfId="0" applyNumberFormat="1" applyFont="1" applyFill="1" applyAlignment="1">
      <alignment horizontal="left"/>
    </xf>
    <xf numFmtId="166" fontId="9" fillId="2" borderId="0" xfId="0" applyNumberFormat="1" applyFont="1" applyFill="1"/>
    <xf numFmtId="166" fontId="3" fillId="2" borderId="2" xfId="0" applyNumberFormat="1" applyFont="1" applyFill="1" applyBorder="1"/>
    <xf numFmtId="164" fontId="22" fillId="0" borderId="0" xfId="0" applyNumberFormat="1" applyFont="1" applyFill="1" applyAlignment="1">
      <alignment horizontal="center"/>
    </xf>
    <xf numFmtId="0" fontId="23" fillId="3" borderId="0" xfId="0" applyFont="1" applyFill="1" applyAlignment="1">
      <alignment wrapText="1"/>
    </xf>
    <xf numFmtId="43" fontId="24" fillId="0" borderId="0" xfId="0" applyNumberFormat="1" applyFont="1" applyAlignment="1">
      <alignment wrapText="1"/>
    </xf>
    <xf numFmtId="43" fontId="24" fillId="0" borderId="3" xfId="0" applyNumberFormat="1" applyFont="1" applyBorder="1" applyAlignment="1">
      <alignment wrapText="1"/>
    </xf>
    <xf numFmtId="0" fontId="24" fillId="0" borderId="0" xfId="0" applyFont="1" applyAlignment="1">
      <alignment wrapText="1"/>
    </xf>
    <xf numFmtId="43" fontId="24" fillId="0" borderId="0" xfId="0" applyNumberFormat="1" applyFont="1"/>
    <xf numFmtId="0" fontId="22" fillId="3" borderId="0" xfId="0" applyFont="1" applyFill="1" applyAlignment="1">
      <alignment horizontal="center"/>
    </xf>
    <xf numFmtId="43" fontId="24" fillId="0" borderId="2" xfId="0" applyNumberFormat="1" applyFont="1" applyBorder="1"/>
    <xf numFmtId="43" fontId="2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662940</xdr:colOff>
      <xdr:row>40</xdr:row>
      <xdr:rowOff>0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pane xSplit="3" ySplit="3" topLeftCell="Q4" activePane="bottomRight" state="frozen"/>
      <selection pane="topRight" activeCell="D1" sqref="D1"/>
      <selection pane="bottomLeft" activeCell="A4" sqref="A4"/>
      <selection pane="bottomRight" activeCell="U14" sqref="U14"/>
    </sheetView>
  </sheetViews>
  <sheetFormatPr baseColWidth="10" defaultColWidth="10.88671875" defaultRowHeight="15" customHeight="1" x14ac:dyDescent="0.25"/>
  <cols>
    <col min="1" max="1" width="3.109375" style="13" customWidth="1"/>
    <col min="2" max="2" width="11.88671875" style="13" customWidth="1"/>
    <col min="3" max="3" width="46" style="13" customWidth="1"/>
    <col min="4" max="4" width="19.6640625" style="13" customWidth="1"/>
    <col min="5" max="5" width="7.88671875" style="13" customWidth="1"/>
    <col min="6" max="6" width="21.6640625" style="13" customWidth="1"/>
    <col min="7" max="7" width="7.88671875" style="13" customWidth="1"/>
    <col min="8" max="8" width="17.44140625" style="13" customWidth="1"/>
    <col min="9" max="9" width="6.5546875" style="13" bestFit="1" customWidth="1"/>
    <col min="10" max="10" width="15" style="13" customWidth="1"/>
    <col min="11" max="11" width="7.88671875" style="13" customWidth="1"/>
    <col min="12" max="12" width="20.88671875" style="13" customWidth="1"/>
    <col min="13" max="13" width="7.88671875" style="13" customWidth="1"/>
    <col min="14" max="14" width="18.109375" style="13" customWidth="1"/>
    <col min="15" max="15" width="7.88671875" style="13" customWidth="1"/>
    <col min="16" max="16" width="8.88671875" style="13" customWidth="1"/>
    <col min="17" max="17" width="7.88671875" style="13" customWidth="1"/>
  </cols>
  <sheetData>
    <row r="1" spans="1:17" s="19" customFormat="1" ht="15.6" x14ac:dyDescent="0.3">
      <c r="A1" s="17" t="s">
        <v>28</v>
      </c>
      <c r="B1" s="18" t="s">
        <v>29</v>
      </c>
      <c r="C1" s="17" t="s">
        <v>30</v>
      </c>
      <c r="D1" s="28" t="s">
        <v>31</v>
      </c>
      <c r="E1" s="29"/>
      <c r="F1" s="28" t="s">
        <v>32</v>
      </c>
      <c r="G1" s="29"/>
      <c r="H1" s="28" t="s">
        <v>33</v>
      </c>
      <c r="I1" s="29"/>
      <c r="J1" s="28" t="s">
        <v>34</v>
      </c>
      <c r="K1" s="29"/>
      <c r="L1" s="28" t="s">
        <v>35</v>
      </c>
      <c r="M1" s="29"/>
      <c r="N1" s="28" t="s">
        <v>36</v>
      </c>
      <c r="O1" s="29"/>
      <c r="P1" s="28" t="s">
        <v>37</v>
      </c>
      <c r="Q1" s="29"/>
    </row>
    <row r="2" spans="1:17" s="19" customFormat="1" ht="15" customHeight="1" x14ac:dyDescent="0.25">
      <c r="B2" s="20"/>
      <c r="D2" s="30">
        <f>D3-E3</f>
        <v>1193.6000000000004</v>
      </c>
      <c r="E2" s="29"/>
      <c r="F2" s="30">
        <f>F3-G3</f>
        <v>1890</v>
      </c>
      <c r="G2" s="29"/>
      <c r="H2" s="30">
        <f>H3-I3</f>
        <v>200</v>
      </c>
      <c r="I2" s="29"/>
      <c r="J2" s="30">
        <f>J3-K3</f>
        <v>-49.800000000000182</v>
      </c>
      <c r="K2" s="29"/>
      <c r="L2" s="30">
        <f>L3-M3</f>
        <v>530</v>
      </c>
      <c r="M2" s="29"/>
      <c r="N2" s="30">
        <f>N3-O3</f>
        <v>2705</v>
      </c>
      <c r="O2" s="29"/>
      <c r="P2" s="30">
        <f>P3-Q3</f>
        <v>8050</v>
      </c>
      <c r="Q2" s="29"/>
    </row>
    <row r="3" spans="1:17" s="19" customFormat="1" ht="15" customHeight="1" x14ac:dyDescent="0.25">
      <c r="B3" s="20"/>
      <c r="D3" s="26">
        <f t="shared" ref="D3:Q3" si="0">SUM(D4:D480)</f>
        <v>6447.6</v>
      </c>
      <c r="E3" s="26">
        <f t="shared" si="0"/>
        <v>5254</v>
      </c>
      <c r="F3" s="26">
        <f t="shared" si="0"/>
        <v>2241.6</v>
      </c>
      <c r="G3" s="26">
        <f t="shared" si="0"/>
        <v>351.6</v>
      </c>
      <c r="H3" s="26">
        <f t="shared" si="0"/>
        <v>292.2</v>
      </c>
      <c r="I3" s="26">
        <f t="shared" si="0"/>
        <v>92.2</v>
      </c>
      <c r="J3" s="26">
        <f t="shared" si="0"/>
        <v>2590</v>
      </c>
      <c r="K3" s="26">
        <f t="shared" si="0"/>
        <v>2639.8</v>
      </c>
      <c r="L3" s="26">
        <f t="shared" si="0"/>
        <v>978.95</v>
      </c>
      <c r="M3" s="26">
        <f t="shared" si="0"/>
        <v>448.95</v>
      </c>
      <c r="N3" s="26">
        <f t="shared" si="0"/>
        <v>3620.05</v>
      </c>
      <c r="O3" s="26">
        <f t="shared" si="0"/>
        <v>915.05</v>
      </c>
      <c r="P3" s="26">
        <f t="shared" si="0"/>
        <v>10050</v>
      </c>
      <c r="Q3" s="26">
        <f t="shared" si="0"/>
        <v>2000</v>
      </c>
    </row>
    <row r="4" spans="1:17" ht="15.6" x14ac:dyDescent="0.3">
      <c r="A4" s="11">
        <v>4</v>
      </c>
      <c r="B4" s="12">
        <v>41040</v>
      </c>
      <c r="C4" s="11" t="s">
        <v>38</v>
      </c>
      <c r="P4" s="23">
        <v>10050</v>
      </c>
    </row>
    <row r="5" spans="1:17" ht="15.6" x14ac:dyDescent="0.3">
      <c r="A5" s="11">
        <v>5</v>
      </c>
      <c r="B5" s="12">
        <v>41040</v>
      </c>
      <c r="C5" s="24" t="s">
        <v>39</v>
      </c>
      <c r="D5" s="23">
        <v>2000</v>
      </c>
      <c r="Q5" s="23">
        <v>2000</v>
      </c>
    </row>
    <row r="6" spans="1:17" ht="15.6" x14ac:dyDescent="0.3">
      <c r="A6" s="11">
        <v>6</v>
      </c>
      <c r="B6" s="12">
        <v>41040</v>
      </c>
      <c r="C6" s="11" t="s">
        <v>40</v>
      </c>
      <c r="D6" s="23">
        <v>400</v>
      </c>
      <c r="E6" s="23">
        <v>100</v>
      </c>
      <c r="N6" s="23">
        <v>100</v>
      </c>
      <c r="O6" s="23">
        <v>400</v>
      </c>
    </row>
    <row r="7" spans="1:17" ht="15.6" x14ac:dyDescent="0.3">
      <c r="A7" s="11">
        <v>9</v>
      </c>
      <c r="B7" s="12">
        <v>41040</v>
      </c>
      <c r="C7" s="11" t="s">
        <v>41</v>
      </c>
      <c r="D7" s="23">
        <v>100</v>
      </c>
      <c r="E7" s="23">
        <v>100</v>
      </c>
      <c r="J7" s="23">
        <v>100</v>
      </c>
      <c r="K7" s="23">
        <v>100</v>
      </c>
    </row>
    <row r="8" spans="1:17" ht="15.6" x14ac:dyDescent="0.3">
      <c r="A8" s="11">
        <v>15</v>
      </c>
      <c r="B8" s="12">
        <v>41040</v>
      </c>
      <c r="C8" s="11" t="s">
        <v>42</v>
      </c>
      <c r="D8" s="23">
        <v>1580</v>
      </c>
      <c r="K8" s="23">
        <v>1580</v>
      </c>
    </row>
    <row r="9" spans="1:17" ht="15.6" x14ac:dyDescent="0.3">
      <c r="A9" s="11">
        <v>16</v>
      </c>
      <c r="B9" s="12">
        <v>41040</v>
      </c>
      <c r="C9" s="11" t="s">
        <v>43</v>
      </c>
      <c r="E9" s="22">
        <v>1500</v>
      </c>
      <c r="F9" s="22">
        <v>200</v>
      </c>
      <c r="H9" s="22">
        <v>200</v>
      </c>
      <c r="J9" s="22">
        <v>300</v>
      </c>
      <c r="L9" s="22">
        <v>500</v>
      </c>
      <c r="N9" s="22">
        <v>300</v>
      </c>
    </row>
    <row r="10" spans="1:17" ht="15.6" x14ac:dyDescent="0.3">
      <c r="A10" s="11">
        <v>27</v>
      </c>
      <c r="B10" s="12">
        <v>41040</v>
      </c>
      <c r="C10" s="11" t="s">
        <v>44</v>
      </c>
      <c r="D10" s="23">
        <v>100</v>
      </c>
      <c r="M10" s="23">
        <v>100</v>
      </c>
    </row>
    <row r="11" spans="1:17" ht="15.6" x14ac:dyDescent="0.3">
      <c r="A11" s="11">
        <v>30</v>
      </c>
      <c r="B11" s="12">
        <v>41040</v>
      </c>
      <c r="C11" s="11" t="s">
        <v>45</v>
      </c>
      <c r="E11" s="23">
        <v>300</v>
      </c>
      <c r="J11" s="23">
        <v>150</v>
      </c>
      <c r="N11" s="23">
        <v>150</v>
      </c>
    </row>
    <row r="12" spans="1:17" ht="15.6" x14ac:dyDescent="0.3">
      <c r="A12" s="11">
        <v>31</v>
      </c>
      <c r="B12" s="12">
        <v>41040</v>
      </c>
      <c r="C12" s="11" t="s">
        <v>46</v>
      </c>
      <c r="F12" s="23">
        <v>1690</v>
      </c>
      <c r="J12" s="23">
        <v>1580.2</v>
      </c>
      <c r="L12" s="23">
        <v>230</v>
      </c>
      <c r="N12" s="23">
        <v>2555</v>
      </c>
    </row>
    <row r="13" spans="1:17" ht="15.6" x14ac:dyDescent="0.3">
      <c r="A13" s="11">
        <v>32</v>
      </c>
      <c r="B13" s="12">
        <v>41040</v>
      </c>
      <c r="C13" s="11" t="s">
        <v>47</v>
      </c>
      <c r="D13" s="23">
        <v>100</v>
      </c>
      <c r="M13" s="23">
        <v>100</v>
      </c>
    </row>
    <row r="14" spans="1:17" ht="15.6" x14ac:dyDescent="0.3">
      <c r="A14" s="11">
        <v>40</v>
      </c>
      <c r="B14" s="12">
        <v>41040</v>
      </c>
      <c r="C14" s="11" t="s">
        <v>48</v>
      </c>
      <c r="D14" s="23">
        <v>500</v>
      </c>
      <c r="K14" s="23">
        <v>500</v>
      </c>
    </row>
    <row r="15" spans="1:17" ht="15.6" x14ac:dyDescent="0.3">
      <c r="A15" s="11">
        <v>42</v>
      </c>
      <c r="B15" s="12">
        <v>41041</v>
      </c>
      <c r="C15" s="11" t="s">
        <v>49</v>
      </c>
      <c r="D15" s="23">
        <v>1667.6</v>
      </c>
      <c r="G15" s="23">
        <v>351.6</v>
      </c>
      <c r="I15" s="23">
        <v>92.2</v>
      </c>
      <c r="K15" s="23">
        <v>459.8</v>
      </c>
      <c r="M15" s="23">
        <v>248.95</v>
      </c>
      <c r="O15" s="23">
        <v>515.04999999999995</v>
      </c>
    </row>
    <row r="16" spans="1:17" ht="15.6" x14ac:dyDescent="0.3">
      <c r="A16" s="11">
        <v>43</v>
      </c>
      <c r="B16" s="12">
        <v>41041</v>
      </c>
      <c r="C16" s="11" t="s">
        <v>50</v>
      </c>
      <c r="F16" s="23">
        <v>351.6</v>
      </c>
      <c r="H16" s="23">
        <v>92.2</v>
      </c>
      <c r="J16" s="23">
        <v>459.8</v>
      </c>
      <c r="L16" s="23">
        <v>248.95</v>
      </c>
      <c r="N16" s="23">
        <v>515.04999999999995</v>
      </c>
    </row>
    <row r="17" spans="1:5" ht="15.6" x14ac:dyDescent="0.3">
      <c r="A17" s="11">
        <v>44</v>
      </c>
      <c r="B17" s="12">
        <v>41041</v>
      </c>
      <c r="C17" s="11" t="s">
        <v>51</v>
      </c>
      <c r="E17" s="23">
        <v>2450</v>
      </c>
    </row>
    <row r="18" spans="1:5" ht="15.6" x14ac:dyDescent="0.3">
      <c r="A18" s="11">
        <v>45</v>
      </c>
      <c r="B18" s="12">
        <v>41047</v>
      </c>
      <c r="C18" s="11" t="s">
        <v>52</v>
      </c>
      <c r="E18" s="23">
        <v>804</v>
      </c>
    </row>
  </sheetData>
  <mergeCells count="14">
    <mergeCell ref="F1:G1"/>
    <mergeCell ref="H1:I1"/>
    <mergeCell ref="J1:K1"/>
    <mergeCell ref="L1:M1"/>
    <mergeCell ref="D2:E2"/>
    <mergeCell ref="F2:G2"/>
    <mergeCell ref="H2:I2"/>
    <mergeCell ref="J2:K2"/>
    <mergeCell ref="L2:M2"/>
    <mergeCell ref="N2:O2"/>
    <mergeCell ref="P2:Q2"/>
    <mergeCell ref="N1:O1"/>
    <mergeCell ref="P1:Q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pane xSplit="7" ySplit="3" topLeftCell="AD4" activePane="bottomRight" state="frozen"/>
      <selection pane="topRight" activeCell="E1" sqref="E1"/>
      <selection pane="bottomLeft" activeCell="A4" sqref="A4"/>
      <selection pane="bottomRight" activeCell="G2" sqref="G2"/>
    </sheetView>
  </sheetViews>
  <sheetFormatPr baseColWidth="10" defaultColWidth="17.109375" defaultRowHeight="12.75" customHeight="1" x14ac:dyDescent="0.25"/>
  <cols>
    <col min="1" max="1" width="6.33203125" style="13" bestFit="1" customWidth="1"/>
    <col min="2" max="2" width="10.109375" style="13" bestFit="1" customWidth="1"/>
    <col min="3" max="3" width="33.109375" style="13" bestFit="1" customWidth="1"/>
    <col min="4" max="5" width="20.77734375" customWidth="1"/>
    <col min="6" max="7" width="10.77734375" customWidth="1"/>
    <col min="8" max="35" width="10.77734375" style="13" customWidth="1"/>
  </cols>
  <sheetData>
    <row r="1" spans="1:35" s="19" customFormat="1" ht="15.6" x14ac:dyDescent="0.3">
      <c r="A1" s="17" t="s">
        <v>28</v>
      </c>
      <c r="B1" s="18" t="s">
        <v>29</v>
      </c>
      <c r="C1" s="17" t="s">
        <v>30</v>
      </c>
      <c r="D1" s="47" t="s">
        <v>118</v>
      </c>
      <c r="E1" s="47" t="s">
        <v>119</v>
      </c>
      <c r="F1" s="47" t="s">
        <v>120</v>
      </c>
      <c r="G1" s="47" t="s">
        <v>121</v>
      </c>
      <c r="H1" s="33" t="s">
        <v>53</v>
      </c>
      <c r="I1" s="32"/>
      <c r="J1" s="33" t="s">
        <v>37</v>
      </c>
      <c r="K1" s="32"/>
      <c r="L1" s="34" t="s">
        <v>115</v>
      </c>
      <c r="M1" s="32"/>
      <c r="N1" s="33" t="s">
        <v>5</v>
      </c>
      <c r="O1" s="32"/>
      <c r="P1" s="34" t="s">
        <v>116</v>
      </c>
      <c r="Q1" s="32"/>
      <c r="R1" s="33" t="s">
        <v>54</v>
      </c>
      <c r="S1" s="32"/>
      <c r="T1" s="33" t="s">
        <v>20</v>
      </c>
      <c r="U1" s="32"/>
      <c r="V1" s="33" t="s">
        <v>55</v>
      </c>
      <c r="W1" s="32"/>
      <c r="X1" s="33" t="s">
        <v>56</v>
      </c>
      <c r="Y1" s="32"/>
      <c r="Z1" s="33" t="s">
        <v>57</v>
      </c>
      <c r="AA1" s="32"/>
      <c r="AB1" s="33" t="s">
        <v>58</v>
      </c>
      <c r="AC1" s="32"/>
      <c r="AD1" s="33" t="s">
        <v>59</v>
      </c>
      <c r="AE1" s="32"/>
      <c r="AF1" s="33" t="s">
        <v>60</v>
      </c>
      <c r="AG1" s="32"/>
      <c r="AH1" s="33" t="s">
        <v>61</v>
      </c>
      <c r="AI1" s="32"/>
    </row>
    <row r="2" spans="1:35" s="19" customFormat="1" ht="12.75" customHeight="1" x14ac:dyDescent="0.25">
      <c r="B2" s="20"/>
      <c r="F2" s="25"/>
      <c r="H2" s="31">
        <f>H3-I3</f>
        <v>4752.7999999999993</v>
      </c>
      <c r="I2" s="32"/>
      <c r="J2" s="31">
        <f>J3-K3</f>
        <v>6941.3500000000022</v>
      </c>
      <c r="K2" s="32"/>
      <c r="L2" s="31">
        <f>L3-M3</f>
        <v>2286</v>
      </c>
      <c r="M2" s="32"/>
      <c r="N2" s="31">
        <f>N3-O3</f>
        <v>-100</v>
      </c>
      <c r="O2" s="32"/>
      <c r="P2" s="31">
        <f>P3-Q3</f>
        <v>0</v>
      </c>
      <c r="Q2" s="32"/>
      <c r="R2" s="31">
        <f>S3-R3</f>
        <v>-1215</v>
      </c>
      <c r="S2" s="32"/>
      <c r="T2" s="31">
        <f>U3-T3</f>
        <v>0</v>
      </c>
      <c r="U2" s="32"/>
      <c r="V2" s="31">
        <f>W3-V3</f>
        <v>7075.7000000000007</v>
      </c>
      <c r="W2" s="32"/>
      <c r="X2" s="31">
        <f>Y3-X3</f>
        <v>4197.1000000000004</v>
      </c>
      <c r="Y2" s="32"/>
      <c r="Z2" s="31">
        <f>AA3-Z3</f>
        <v>21291.200000000001</v>
      </c>
      <c r="AA2" s="32"/>
      <c r="AB2" s="31">
        <f>AB3-AC3</f>
        <v>2474.5</v>
      </c>
      <c r="AC2" s="32"/>
      <c r="AD2" s="31">
        <f>AD3-AE3</f>
        <v>1177.75</v>
      </c>
      <c r="AE2" s="32"/>
      <c r="AF2" s="31">
        <f>AF3-AG3</f>
        <v>2618.4</v>
      </c>
      <c r="AG2" s="32"/>
      <c r="AH2" s="31">
        <f>AH3-AI3</f>
        <v>11798.2</v>
      </c>
      <c r="AI2" s="32"/>
    </row>
    <row r="3" spans="1:35" s="19" customFormat="1" ht="12.75" customHeight="1" x14ac:dyDescent="0.25">
      <c r="B3" s="20"/>
      <c r="F3" s="25"/>
      <c r="H3" s="21">
        <f t="shared" ref="H3:AI3" si="0">SUM(H4:H445)</f>
        <v>13972.8</v>
      </c>
      <c r="I3" s="21">
        <f t="shared" si="0"/>
        <v>9220</v>
      </c>
      <c r="J3" s="21">
        <f t="shared" si="0"/>
        <v>27725.200000000001</v>
      </c>
      <c r="K3" s="21">
        <f t="shared" si="0"/>
        <v>20783.849999999999</v>
      </c>
      <c r="L3" s="21">
        <f t="shared" si="0"/>
        <v>24490</v>
      </c>
      <c r="M3" s="21">
        <f t="shared" si="0"/>
        <v>22204</v>
      </c>
      <c r="N3" s="21">
        <f t="shared" si="0"/>
        <v>0</v>
      </c>
      <c r="O3" s="21">
        <f t="shared" si="0"/>
        <v>100</v>
      </c>
      <c r="P3" s="21">
        <f t="shared" si="0"/>
        <v>0</v>
      </c>
      <c r="Q3" s="21">
        <f t="shared" si="0"/>
        <v>0</v>
      </c>
      <c r="R3" s="21">
        <f t="shared" si="0"/>
        <v>19283.849999999999</v>
      </c>
      <c r="S3" s="21">
        <f t="shared" si="0"/>
        <v>18068.849999999999</v>
      </c>
      <c r="T3" s="21">
        <f t="shared" si="0"/>
        <v>0</v>
      </c>
      <c r="U3" s="21">
        <f t="shared" si="0"/>
        <v>0</v>
      </c>
      <c r="V3" s="21">
        <f t="shared" si="0"/>
        <v>0</v>
      </c>
      <c r="W3" s="21">
        <f t="shared" si="0"/>
        <v>7075.7000000000007</v>
      </c>
      <c r="X3" s="21">
        <f t="shared" si="0"/>
        <v>0</v>
      </c>
      <c r="Y3" s="21">
        <f t="shared" si="0"/>
        <v>4197.1000000000004</v>
      </c>
      <c r="Z3" s="21">
        <f t="shared" si="0"/>
        <v>0</v>
      </c>
      <c r="AA3" s="21">
        <f t="shared" si="0"/>
        <v>21291.200000000001</v>
      </c>
      <c r="AB3" s="21">
        <f t="shared" si="0"/>
        <v>2474.5</v>
      </c>
      <c r="AC3" s="21">
        <f t="shared" si="0"/>
        <v>0</v>
      </c>
      <c r="AD3" s="21">
        <f t="shared" si="0"/>
        <v>1177.75</v>
      </c>
      <c r="AE3" s="21">
        <f t="shared" si="0"/>
        <v>0</v>
      </c>
      <c r="AF3" s="21">
        <f t="shared" si="0"/>
        <v>2618.4</v>
      </c>
      <c r="AG3" s="21">
        <f t="shared" si="0"/>
        <v>0</v>
      </c>
      <c r="AH3" s="21">
        <f t="shared" si="0"/>
        <v>11798.2</v>
      </c>
      <c r="AI3" s="21">
        <f t="shared" si="0"/>
        <v>0</v>
      </c>
    </row>
    <row r="4" spans="1:35" ht="12.75" customHeight="1" x14ac:dyDescent="0.25">
      <c r="A4" s="13" t="s">
        <v>62</v>
      </c>
      <c r="B4" s="14">
        <v>41053</v>
      </c>
      <c r="C4" s="13" t="s">
        <v>63</v>
      </c>
      <c r="D4" t="str">
        <f t="shared" ref="D4:D11" si="1">IF(F4=0,"-",IF(ISBLANK(H4),"",H$1)&amp;""&amp;IF(ISBLANK(J4),"",J$1)&amp;""&amp;IF(ISBLANK(L4),"",L$1)&amp;""&amp;IF(ISBLANK(N4),"",N$1)&amp;""&amp;IF(ISBLANK(P4),"",P$1)&amp;""&amp;IF(ISBLANK(R4),"",R$1)&amp;""&amp;IF(ISBLANK(T4),"",T$1)&amp;""&amp;IF(ISBLANK(V4),"",V$1)&amp;""&amp;IF(ISBLANK(X4),"",X$1)&amp;""&amp;IF(ISBLANK(Z4),"",Z$1)&amp;""&amp;IF(ISBLANK(AB4),"",AB$1)&amp;""&amp;IF(ISBLANK(AD4),"",AD$1)&amp;""&amp;IF(ISBLANK(AF4),"",AF$1)&amp;""&amp;IF(ISBLANK(AH4),"",AH$1))</f>
        <v>Banque</v>
      </c>
      <c r="E4" t="str">
        <f t="shared" ref="E4:E11" si="2">IF(G4=0,"-",IF(ISBLANK(I4),"",H$1)&amp;""&amp;IF(ISBLANK(K4),"",J$1)&amp;""&amp;IF(ISBLANK(M4),"",L$1)&amp;""&amp;IF(ISBLANK(O4),"",N$1)&amp;""&amp;IF(ISBLANK(Q4),"",P$1)&amp;""&amp;IF(ISBLANK(S4),"",R$1)&amp;""&amp;IF(ISBLANK(U4),"",T$1)&amp;""&amp;IF(ISBLANK(W4),"",V$1)&amp;""&amp;IF(ISBLANK(Y4),"",X$1)&amp;""&amp;IF(ISBLANK(AA4),"",Z$1)&amp;""&amp;IF(ISBLANK(AC4),"",AB$1)&amp;""&amp;IF(ISBLANK(AE4),"",AD$1)&amp;""&amp;IF(ISBLANK(AG4),"",AF$1)&amp;""&amp;IF(ISBLANK(AI4),"",AH$1))</f>
        <v>Revenus autres</v>
      </c>
      <c r="F4" s="9">
        <f>SUM(H4,J4,L4,N4,P4,R4,T4,V4,X4,Z4,AB4,AD4,AF4,AH4)</f>
        <v>11900</v>
      </c>
      <c r="G4" s="9">
        <f>SUM(H4:AI4)-F4</f>
        <v>11900</v>
      </c>
      <c r="H4" s="16"/>
      <c r="I4" s="16"/>
      <c r="J4" s="16">
        <f>((8130+1850)+2000)-80</f>
        <v>11900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>
        <f>11980-80</f>
        <v>11900</v>
      </c>
      <c r="AB4" s="16"/>
      <c r="AC4" s="16"/>
      <c r="AD4" s="16"/>
      <c r="AE4" s="16"/>
      <c r="AF4" s="16"/>
      <c r="AG4" s="16"/>
      <c r="AH4" s="16"/>
      <c r="AI4" s="16"/>
    </row>
    <row r="5" spans="1:35" ht="12.75" customHeight="1" x14ac:dyDescent="0.25">
      <c r="A5" s="13" t="s">
        <v>64</v>
      </c>
      <c r="B5" s="14">
        <v>41040</v>
      </c>
      <c r="C5" s="13" t="s">
        <v>65</v>
      </c>
      <c r="D5" t="str">
        <f t="shared" si="1"/>
        <v>Caisse</v>
      </c>
      <c r="E5" t="str">
        <f t="shared" si="2"/>
        <v>Banque</v>
      </c>
      <c r="F5" s="9">
        <f t="shared" ref="F5:F35" si="3">SUM(H5,J5,L5,N5,P5,R5,T5,V5,X5,Z5,AB5,AD5,AF5,AH5)</f>
        <v>2000</v>
      </c>
      <c r="G5" s="9">
        <f t="shared" ref="G5:G35" si="4">SUM(H5:AI5)-F5</f>
        <v>2000</v>
      </c>
      <c r="H5" s="16">
        <v>2000</v>
      </c>
      <c r="I5" s="16"/>
      <c r="J5" s="16"/>
      <c r="K5" s="16">
        <v>2000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2.75" customHeight="1" x14ac:dyDescent="0.25">
      <c r="A6" s="13" t="s">
        <v>66</v>
      </c>
      <c r="B6" s="14">
        <v>41053</v>
      </c>
      <c r="C6" s="13" t="s">
        <v>67</v>
      </c>
      <c r="D6" t="str">
        <f t="shared" si="1"/>
        <v>Banque</v>
      </c>
      <c r="E6" t="str">
        <f t="shared" si="2"/>
        <v>Caisse</v>
      </c>
      <c r="F6" s="9">
        <f t="shared" si="3"/>
        <v>9220</v>
      </c>
      <c r="G6" s="9">
        <f t="shared" si="4"/>
        <v>9220</v>
      </c>
      <c r="H6" s="16"/>
      <c r="I6" s="16">
        <v>9220</v>
      </c>
      <c r="J6" s="16">
        <f>9140+80</f>
        <v>9220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2.75" customHeight="1" x14ac:dyDescent="0.25">
      <c r="A7" s="13" t="s">
        <v>68</v>
      </c>
      <c r="B7" s="14">
        <v>41040</v>
      </c>
      <c r="C7" s="13" t="s">
        <v>69</v>
      </c>
      <c r="D7" t="str">
        <f t="shared" si="1"/>
        <v>Caisse</v>
      </c>
      <c r="E7" t="str">
        <f t="shared" si="2"/>
        <v>Revenus nouritures</v>
      </c>
      <c r="F7" s="9">
        <f t="shared" si="3"/>
        <v>2405.4499999999998</v>
      </c>
      <c r="G7" s="9">
        <f t="shared" si="4"/>
        <v>2405.4499999999998</v>
      </c>
      <c r="H7" s="16">
        <v>2405.4499999999998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>
        <v>2405.4499999999998</v>
      </c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12.75" customHeight="1" x14ac:dyDescent="0.25">
      <c r="A8" s="13" t="s">
        <v>70</v>
      </c>
      <c r="B8" s="14">
        <v>41040</v>
      </c>
      <c r="C8" s="13" t="s">
        <v>71</v>
      </c>
      <c r="D8" t="str">
        <f t="shared" si="1"/>
        <v>Caisse</v>
      </c>
      <c r="E8" t="str">
        <f t="shared" si="2"/>
        <v>Revenus nouritures</v>
      </c>
      <c r="F8" s="9">
        <f t="shared" si="3"/>
        <v>242.25</v>
      </c>
      <c r="G8" s="9">
        <f t="shared" si="4"/>
        <v>242.25</v>
      </c>
      <c r="H8" s="16">
        <v>242.25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>
        <v>242.25</v>
      </c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12.75" customHeight="1" x14ac:dyDescent="0.25">
      <c r="A9" s="13" t="s">
        <v>72</v>
      </c>
      <c r="B9" s="14">
        <v>41040</v>
      </c>
      <c r="C9" s="13" t="s">
        <v>73</v>
      </c>
      <c r="D9" t="str">
        <f t="shared" si="1"/>
        <v>Caisse</v>
      </c>
      <c r="E9" t="str">
        <f t="shared" si="2"/>
        <v>Revenus des boissons</v>
      </c>
      <c r="F9" s="9">
        <f t="shared" si="3"/>
        <v>3307.8</v>
      </c>
      <c r="G9" s="9">
        <f t="shared" si="4"/>
        <v>3307.8</v>
      </c>
      <c r="H9" s="16">
        <v>3307.8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>
        <v>3307.8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12.75" customHeight="1" x14ac:dyDescent="0.25">
      <c r="A10" s="13" t="s">
        <v>74</v>
      </c>
      <c r="B10" s="14">
        <v>41040</v>
      </c>
      <c r="C10" s="13" t="s">
        <v>75</v>
      </c>
      <c r="D10" t="str">
        <f t="shared" si="1"/>
        <v>Caisse</v>
      </c>
      <c r="E10" t="str">
        <f t="shared" si="2"/>
        <v>Revenus nouritures</v>
      </c>
      <c r="F10" s="9">
        <f t="shared" si="3"/>
        <v>1549.4</v>
      </c>
      <c r="G10" s="9">
        <f t="shared" si="4"/>
        <v>1549.4</v>
      </c>
      <c r="H10" s="16">
        <v>1549.4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>
        <v>1549.4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12.75" customHeight="1" x14ac:dyDescent="0.25">
      <c r="A11" s="13" t="s">
        <v>76</v>
      </c>
      <c r="B11" s="14">
        <v>41040</v>
      </c>
      <c r="C11" s="13" t="s">
        <v>77</v>
      </c>
      <c r="D11" t="str">
        <f t="shared" si="1"/>
        <v>Caisse</v>
      </c>
      <c r="E11" t="str">
        <f t="shared" si="2"/>
        <v>Revenus des boissons</v>
      </c>
      <c r="F11" s="9">
        <f t="shared" si="3"/>
        <v>3767.9</v>
      </c>
      <c r="G11" s="9">
        <f t="shared" si="4"/>
        <v>3767.9</v>
      </c>
      <c r="H11" s="16">
        <v>3767.9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3767.9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12.75" customHeight="1" x14ac:dyDescent="0.25">
      <c r="A12" s="13" t="s">
        <v>78</v>
      </c>
      <c r="B12" s="14">
        <v>41040</v>
      </c>
      <c r="C12" s="13" t="s">
        <v>79</v>
      </c>
      <c r="D12" t="str">
        <f>IF(F12=0,"-",IF(ISBLANK(H12),"",H$1)&amp;""&amp;IF(ISBLANK(J12),"",J$1)&amp;""&amp;IF(ISBLANK(L12),"",L$1)&amp;""&amp;IF(ISBLANK(N12),"",N$1)&amp;""&amp;IF(ISBLANK(P12),"",P$1)&amp;""&amp;IF(ISBLANK(R12),"",R$1)&amp;""&amp;IF(ISBLANK(T12),"",T$1)&amp;""&amp;IF(ISBLANK(V12),"",V$1)&amp;""&amp;IF(ISBLANK(X12),"",X$1)&amp;""&amp;IF(ISBLANK(Z12),"",Z$1)&amp;""&amp;IF(ISBLANK(AB12),"",AB$1)&amp;""&amp;IF(ISBLANK(AD12),"",AD$1)&amp;""&amp;IF(ISBLANK(AF12),"",AF$1)&amp;""&amp;IF(ISBLANK(AH12),"",AH$1))</f>
        <v>Caisse</v>
      </c>
      <c r="E12" t="str">
        <f>IF(G12=0,"-",IF(ISBLANK(I12),"",H$1)&amp;""&amp;IF(ISBLANK(K12),"",J$1)&amp;""&amp;IF(ISBLANK(M12),"",L$1)&amp;""&amp;IF(ISBLANK(O12),"",N$1)&amp;""&amp;IF(ISBLANK(Q12),"",P$1)&amp;""&amp;IF(ISBLANK(S12),"",R$1)&amp;""&amp;IF(ISBLANK(U12),"",T$1)&amp;""&amp;IF(ISBLANK(W12),"",V$1)&amp;""&amp;IF(ISBLANK(Y12),"",X$1)&amp;""&amp;IF(ISBLANK(AA12),"",Z$1)&amp;""&amp;IF(ISBLANK(AC12),"",AB$1)&amp;""&amp;IF(ISBLANK(AE12),"",AD$1)&amp;""&amp;IF(ISBLANK(AG12),"",AF$1)&amp;""&amp;IF(ISBLANK(AI12),"",AH$1))</f>
        <v>-</v>
      </c>
      <c r="F12" s="9">
        <f t="shared" si="3"/>
        <v>700</v>
      </c>
      <c r="G12" s="9">
        <f t="shared" si="4"/>
        <v>0</v>
      </c>
      <c r="H12" s="16">
        <v>700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12.75" customHeight="1" x14ac:dyDescent="0.25">
      <c r="A13" s="13" t="s">
        <v>81</v>
      </c>
      <c r="B13" s="14">
        <v>41053</v>
      </c>
      <c r="C13" s="13" t="s">
        <v>82</v>
      </c>
      <c r="D13" t="str">
        <f t="shared" ref="D13:D35" si="5">IF(F13=0,"-",IF(ISBLANK(H13),"",H$1)&amp;""&amp;IF(ISBLANK(J13),"",J$1)&amp;""&amp;IF(ISBLANK(L13),"",L$1)&amp;""&amp;IF(ISBLANK(N13),"",N$1)&amp;""&amp;IF(ISBLANK(P13),"",P$1)&amp;""&amp;IF(ISBLANK(R13),"",R$1)&amp;""&amp;IF(ISBLANK(T13),"",T$1)&amp;""&amp;IF(ISBLANK(V13),"",V$1)&amp;""&amp;IF(ISBLANK(X13),"",X$1)&amp;""&amp;IF(ISBLANK(Z13),"",Z$1)&amp;""&amp;IF(ISBLANK(AB13),"",AB$1)&amp;""&amp;IF(ISBLANK(AD13),"",AD$1)&amp;""&amp;IF(ISBLANK(AF13),"",AF$1)&amp;""&amp;IF(ISBLANK(AH13),"",AH$1))</f>
        <v>Créances</v>
      </c>
      <c r="E13" t="str">
        <f t="shared" ref="E13:E35" si="6">IF(G13=0,"-",IF(ISBLANK(I13),"",H$1)&amp;""&amp;IF(ISBLANK(K13),"",J$1)&amp;""&amp;IF(ISBLANK(M13),"",L$1)&amp;""&amp;IF(ISBLANK(O13),"",N$1)&amp;""&amp;IF(ISBLANK(Q13),"",P$1)&amp;""&amp;IF(ISBLANK(S13),"",R$1)&amp;""&amp;IF(ISBLANK(U13),"",T$1)&amp;""&amp;IF(ISBLANK(W13),"",V$1)&amp;""&amp;IF(ISBLANK(Y13),"",X$1)&amp;""&amp;IF(ISBLANK(AA13),"",Z$1)&amp;""&amp;IF(ISBLANK(AC13),"",AB$1)&amp;""&amp;IF(ISBLANK(AE13),"",AD$1)&amp;""&amp;IF(ISBLANK(AG13),"",AF$1)&amp;""&amp;IF(ISBLANK(AI13),"",AH$1))</f>
        <v>-</v>
      </c>
      <c r="F13" s="9">
        <f t="shared" si="3"/>
        <v>24490</v>
      </c>
      <c r="G13" s="9">
        <f t="shared" si="4"/>
        <v>0</v>
      </c>
      <c r="H13" s="16"/>
      <c r="I13" s="16"/>
      <c r="J13" s="16"/>
      <c r="K13" s="16"/>
      <c r="L13" s="16">
        <f>(((1500+5000)+8500)+1000)+8490</f>
        <v>24490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12.75" customHeight="1" x14ac:dyDescent="0.25">
      <c r="A14" s="13" t="s">
        <v>83</v>
      </c>
      <c r="B14" s="14">
        <v>41053</v>
      </c>
      <c r="C14" s="13" t="s">
        <v>82</v>
      </c>
      <c r="D14" t="str">
        <f t="shared" si="5"/>
        <v>-</v>
      </c>
      <c r="E14" t="str">
        <f t="shared" si="6"/>
        <v>Créances</v>
      </c>
      <c r="F14" s="9">
        <f t="shared" si="3"/>
        <v>0</v>
      </c>
      <c r="G14" s="9">
        <f t="shared" si="4"/>
        <v>16000</v>
      </c>
      <c r="H14" s="16"/>
      <c r="I14" s="16"/>
      <c r="J14" s="16"/>
      <c r="K14" s="16"/>
      <c r="L14" s="16"/>
      <c r="M14" s="16">
        <v>16000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12.75" customHeight="1" x14ac:dyDescent="0.25">
      <c r="A15" s="13" t="s">
        <v>84</v>
      </c>
      <c r="B15" s="14">
        <v>41053</v>
      </c>
      <c r="C15" s="13" t="s">
        <v>82</v>
      </c>
      <c r="D15" t="str">
        <f t="shared" si="5"/>
        <v>-</v>
      </c>
      <c r="E15" t="str">
        <f t="shared" si="6"/>
        <v>Revenus autres</v>
      </c>
      <c r="F15" s="9">
        <f t="shared" si="3"/>
        <v>0</v>
      </c>
      <c r="G15" s="9">
        <f t="shared" si="4"/>
        <v>8490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v>8490</v>
      </c>
      <c r="AB15" s="16"/>
      <c r="AC15" s="16"/>
      <c r="AD15" s="16"/>
      <c r="AE15" s="16"/>
      <c r="AF15" s="16"/>
      <c r="AG15" s="16"/>
      <c r="AH15" s="16"/>
      <c r="AI15" s="16"/>
    </row>
    <row r="16" spans="1:35" ht="12.75" customHeight="1" x14ac:dyDescent="0.25">
      <c r="A16" s="13" t="s">
        <v>85</v>
      </c>
      <c r="B16" s="14">
        <v>41046</v>
      </c>
      <c r="C16" s="13" t="s">
        <v>86</v>
      </c>
      <c r="D16" t="str">
        <f t="shared" si="5"/>
        <v>Achat boissons</v>
      </c>
      <c r="E16" t="str">
        <f t="shared" si="6"/>
        <v>Dettes fournisseur</v>
      </c>
      <c r="F16" s="9">
        <f t="shared" si="3"/>
        <v>684.5</v>
      </c>
      <c r="G16" s="9">
        <f t="shared" si="4"/>
        <v>684.5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684.5</v>
      </c>
      <c r="T16" s="16"/>
      <c r="U16" s="16"/>
      <c r="V16" s="16"/>
      <c r="W16" s="16"/>
      <c r="X16" s="16"/>
      <c r="Y16" s="16"/>
      <c r="Z16" s="16"/>
      <c r="AA16" s="16"/>
      <c r="AB16" s="16">
        <v>684.5</v>
      </c>
      <c r="AC16" s="16"/>
      <c r="AD16" s="16"/>
      <c r="AE16" s="16"/>
      <c r="AF16" s="16"/>
      <c r="AG16" s="16"/>
      <c r="AH16" s="16"/>
      <c r="AI16" s="16"/>
    </row>
    <row r="17" spans="1:35" ht="12.75" customHeight="1" x14ac:dyDescent="0.25">
      <c r="A17" s="13" t="s">
        <v>87</v>
      </c>
      <c r="B17" s="14">
        <v>41045</v>
      </c>
      <c r="C17" s="13" t="s">
        <v>88</v>
      </c>
      <c r="D17" t="str">
        <f t="shared" si="5"/>
        <v>Achat nourritures</v>
      </c>
      <c r="E17" t="str">
        <f t="shared" si="6"/>
        <v>Dettes fournisseur</v>
      </c>
      <c r="F17" s="9">
        <f t="shared" si="3"/>
        <v>733.5</v>
      </c>
      <c r="G17" s="9">
        <f t="shared" si="4"/>
        <v>733.5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>
        <v>733.5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>
        <v>733.5</v>
      </c>
      <c r="AE17" s="16"/>
      <c r="AF17" s="16"/>
      <c r="AG17" s="16"/>
      <c r="AH17" s="16"/>
      <c r="AI17" s="16"/>
    </row>
    <row r="18" spans="1:35" ht="12.75" customHeight="1" x14ac:dyDescent="0.25">
      <c r="A18" s="13" t="s">
        <v>89</v>
      </c>
      <c r="B18" s="14">
        <v>41047</v>
      </c>
      <c r="C18" s="13" t="s">
        <v>21</v>
      </c>
      <c r="D18" t="str">
        <f t="shared" si="5"/>
        <v>Achat boissons</v>
      </c>
      <c r="E18" t="str">
        <f t="shared" si="6"/>
        <v>Dettes fournisseur</v>
      </c>
      <c r="F18" s="9">
        <f t="shared" si="3"/>
        <v>50</v>
      </c>
      <c r="G18" s="9">
        <f t="shared" si="4"/>
        <v>50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>
        <v>50</v>
      </c>
      <c r="T18" s="16"/>
      <c r="U18" s="16"/>
      <c r="V18" s="16"/>
      <c r="W18" s="16"/>
      <c r="X18" s="16"/>
      <c r="Y18" s="16"/>
      <c r="Z18" s="16"/>
      <c r="AA18" s="16"/>
      <c r="AB18" s="16">
        <v>50</v>
      </c>
      <c r="AC18" s="16"/>
      <c r="AD18" s="16"/>
      <c r="AE18" s="16"/>
      <c r="AF18" s="16"/>
      <c r="AG18" s="16"/>
      <c r="AH18" s="16"/>
      <c r="AI18" s="16"/>
    </row>
    <row r="19" spans="1:35" ht="12.75" customHeight="1" x14ac:dyDescent="0.25">
      <c r="A19" s="13" t="s">
        <v>90</v>
      </c>
      <c r="B19" s="14">
        <v>41053</v>
      </c>
      <c r="C19" s="13" t="s">
        <v>22</v>
      </c>
      <c r="D19" t="str">
        <f t="shared" si="5"/>
        <v>Achat boissons</v>
      </c>
      <c r="E19" t="str">
        <f t="shared" si="6"/>
        <v>Dettes fournisseur</v>
      </c>
      <c r="F19" s="9">
        <f t="shared" si="3"/>
        <v>600</v>
      </c>
      <c r="G19" s="9">
        <f t="shared" si="4"/>
        <v>600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600</v>
      </c>
      <c r="T19" s="16"/>
      <c r="U19" s="16"/>
      <c r="V19" s="16"/>
      <c r="W19" s="16"/>
      <c r="X19" s="16"/>
      <c r="Y19" s="16"/>
      <c r="Z19" s="16"/>
      <c r="AA19" s="16"/>
      <c r="AB19" s="16">
        <v>600</v>
      </c>
      <c r="AC19" s="16"/>
      <c r="AD19" s="16"/>
      <c r="AE19" s="16"/>
      <c r="AF19" s="16"/>
      <c r="AG19" s="16"/>
      <c r="AH19" s="16"/>
      <c r="AI19" s="16"/>
    </row>
    <row r="20" spans="1:35" ht="12.75" customHeight="1" x14ac:dyDescent="0.25">
      <c r="A20" s="13" t="s">
        <v>91</v>
      </c>
      <c r="B20" s="14">
        <v>41053</v>
      </c>
      <c r="C20" s="13" t="s">
        <v>23</v>
      </c>
      <c r="D20" t="str">
        <f t="shared" si="5"/>
        <v>Achat boissons</v>
      </c>
      <c r="E20" t="str">
        <f t="shared" si="6"/>
        <v>Dettes fournisseur</v>
      </c>
      <c r="F20" s="9">
        <f t="shared" si="3"/>
        <v>1140</v>
      </c>
      <c r="G20" s="9">
        <f t="shared" si="4"/>
        <v>1140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v>1140</v>
      </c>
      <c r="T20" s="16"/>
      <c r="U20" s="16"/>
      <c r="V20" s="16"/>
      <c r="W20" s="16"/>
      <c r="X20" s="16"/>
      <c r="Y20" s="16"/>
      <c r="Z20" s="16"/>
      <c r="AA20" s="16"/>
      <c r="AB20" s="16">
        <v>1140</v>
      </c>
      <c r="AC20" s="16"/>
      <c r="AD20" s="16"/>
      <c r="AE20" s="16"/>
      <c r="AF20" s="16"/>
      <c r="AG20" s="16"/>
      <c r="AH20" s="16"/>
      <c r="AI20" s="16"/>
    </row>
    <row r="21" spans="1:35" ht="12.75" customHeight="1" x14ac:dyDescent="0.25">
      <c r="A21" s="13" t="s">
        <v>92</v>
      </c>
      <c r="B21" s="14">
        <v>41038</v>
      </c>
      <c r="C21" s="13" t="s">
        <v>93</v>
      </c>
      <c r="D21" t="str">
        <f t="shared" si="5"/>
        <v>Achat nourritures</v>
      </c>
      <c r="E21" t="str">
        <f t="shared" si="6"/>
        <v>Dettes fournisseur</v>
      </c>
      <c r="F21" s="9">
        <f t="shared" si="3"/>
        <v>444.25</v>
      </c>
      <c r="G21" s="9">
        <f t="shared" si="4"/>
        <v>444.25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>
        <v>444.25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>
        <v>444.25</v>
      </c>
      <c r="AE21" s="16"/>
      <c r="AF21" s="16"/>
      <c r="AG21" s="16"/>
      <c r="AH21" s="16"/>
      <c r="AI21" s="16"/>
    </row>
    <row r="22" spans="1:35" ht="12.75" customHeight="1" x14ac:dyDescent="0.25">
      <c r="A22" s="13" t="s">
        <v>94</v>
      </c>
      <c r="B22" s="14">
        <v>41053</v>
      </c>
      <c r="C22" s="15" t="s">
        <v>24</v>
      </c>
      <c r="D22" t="str">
        <f t="shared" si="5"/>
        <v>Ass. &amp; securité</v>
      </c>
      <c r="E22" t="str">
        <f t="shared" si="6"/>
        <v>Dettes fournisseur</v>
      </c>
      <c r="F22" s="9">
        <f t="shared" si="3"/>
        <v>1000</v>
      </c>
      <c r="G22" s="9">
        <f t="shared" si="4"/>
        <v>1000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>
        <v>1000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v>1000</v>
      </c>
      <c r="AG22" s="16"/>
      <c r="AH22" s="16"/>
      <c r="AI22" s="16"/>
    </row>
    <row r="23" spans="1:35" ht="12.75" customHeight="1" x14ac:dyDescent="0.25">
      <c r="A23" s="13" t="s">
        <v>95</v>
      </c>
      <c r="B23" s="14">
        <v>41037</v>
      </c>
      <c r="C23" s="15" t="s">
        <v>25</v>
      </c>
      <c r="D23" t="str">
        <f t="shared" si="5"/>
        <v>Ass. &amp; securité</v>
      </c>
      <c r="E23" t="str">
        <f t="shared" si="6"/>
        <v>Dettes fournisseur</v>
      </c>
      <c r="F23" s="9">
        <f t="shared" si="3"/>
        <v>118.4</v>
      </c>
      <c r="G23" s="9">
        <f t="shared" si="4"/>
        <v>118.4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118.4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v>118.4</v>
      </c>
      <c r="AG23" s="16"/>
      <c r="AH23" s="16"/>
      <c r="AI23" s="16"/>
    </row>
    <row r="24" spans="1:35" ht="12.75" customHeight="1" x14ac:dyDescent="0.25">
      <c r="A24" s="13" t="s">
        <v>96</v>
      </c>
      <c r="B24" s="14">
        <v>41045</v>
      </c>
      <c r="C24" s="15" t="s">
        <v>26</v>
      </c>
      <c r="D24" t="str">
        <f t="shared" si="5"/>
        <v>ACE</v>
      </c>
      <c r="E24" t="str">
        <f t="shared" si="6"/>
        <v>Dettes fournisseur</v>
      </c>
      <c r="F24" s="9">
        <f t="shared" si="3"/>
        <v>8455</v>
      </c>
      <c r="G24" s="9">
        <f t="shared" si="4"/>
        <v>8455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8455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>
        <v>8455</v>
      </c>
      <c r="AI24" s="16"/>
    </row>
    <row r="25" spans="1:35" ht="12.75" customHeight="1" x14ac:dyDescent="0.25">
      <c r="A25" s="13" t="s">
        <v>97</v>
      </c>
      <c r="B25" s="14">
        <v>41044</v>
      </c>
      <c r="C25" s="15" t="s">
        <v>98</v>
      </c>
      <c r="D25" t="str">
        <f t="shared" si="5"/>
        <v>ACE</v>
      </c>
      <c r="E25" t="str">
        <f t="shared" si="6"/>
        <v>Dettes fournisseur</v>
      </c>
      <c r="F25" s="9">
        <f t="shared" si="3"/>
        <v>540</v>
      </c>
      <c r="G25" s="9">
        <f t="shared" si="4"/>
        <v>540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540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>
        <v>540</v>
      </c>
      <c r="AI25" s="16"/>
    </row>
    <row r="26" spans="1:35" ht="12.75" customHeight="1" x14ac:dyDescent="0.25">
      <c r="A26" s="13" t="s">
        <v>99</v>
      </c>
      <c r="B26" s="14">
        <v>41040</v>
      </c>
      <c r="C26" s="15" t="s">
        <v>100</v>
      </c>
      <c r="D26" t="str">
        <f t="shared" si="5"/>
        <v>ACE</v>
      </c>
      <c r="E26" t="str">
        <f t="shared" si="6"/>
        <v>Dettes fournisseur</v>
      </c>
      <c r="F26" s="9">
        <f t="shared" si="3"/>
        <v>2095.1999999999998</v>
      </c>
      <c r="G26" s="9">
        <f t="shared" si="4"/>
        <v>2095.1999999999998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>
        <v>2095.1999999999998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>
        <v>2095.1999999999998</v>
      </c>
      <c r="AI26" s="16"/>
    </row>
    <row r="27" spans="1:35" ht="13.2" x14ac:dyDescent="0.25">
      <c r="A27" s="13" t="s">
        <v>101</v>
      </c>
      <c r="B27" s="14">
        <v>41053</v>
      </c>
      <c r="C27" s="15" t="s">
        <v>102</v>
      </c>
      <c r="D27" t="str">
        <f t="shared" si="5"/>
        <v>Ass. &amp; securité</v>
      </c>
      <c r="E27" t="str">
        <f t="shared" si="6"/>
        <v>Dettes fournisseur</v>
      </c>
      <c r="F27" s="9">
        <f t="shared" si="3"/>
        <v>500</v>
      </c>
      <c r="G27" s="9">
        <f t="shared" si="4"/>
        <v>500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>
        <v>500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v>500</v>
      </c>
      <c r="AG27" s="16"/>
      <c r="AH27" s="16"/>
      <c r="AI27" s="16"/>
    </row>
    <row r="28" spans="1:35" ht="13.2" x14ac:dyDescent="0.25">
      <c r="A28" s="13" t="s">
        <v>103</v>
      </c>
      <c r="B28" s="14">
        <v>41055</v>
      </c>
      <c r="C28" s="15" t="s">
        <v>27</v>
      </c>
      <c r="D28" t="str">
        <f t="shared" si="5"/>
        <v>ACE</v>
      </c>
      <c r="E28" t="str">
        <f t="shared" si="6"/>
        <v>Dettes fournisseur</v>
      </c>
      <c r="F28" s="9">
        <f t="shared" si="3"/>
        <v>708</v>
      </c>
      <c r="G28" s="9">
        <f t="shared" si="4"/>
        <v>708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>
        <v>708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>
        <v>708</v>
      </c>
      <c r="AI28" s="16"/>
    </row>
    <row r="29" spans="1:35" ht="13.2" x14ac:dyDescent="0.25">
      <c r="A29" s="13" t="s">
        <v>104</v>
      </c>
      <c r="B29" s="14">
        <v>41053</v>
      </c>
      <c r="C29" s="13" t="s">
        <v>105</v>
      </c>
      <c r="D29" t="str">
        <f t="shared" si="5"/>
        <v>Ass. &amp; securité</v>
      </c>
      <c r="E29" t="str">
        <f t="shared" si="6"/>
        <v>Dettes fournisseur</v>
      </c>
      <c r="F29" s="9">
        <f t="shared" si="3"/>
        <v>1000</v>
      </c>
      <c r="G29" s="9">
        <f t="shared" si="4"/>
        <v>1000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1000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v>1000</v>
      </c>
      <c r="AG29" s="16"/>
      <c r="AH29" s="16"/>
      <c r="AI29" s="16"/>
    </row>
    <row r="30" spans="1:35" ht="13.2" x14ac:dyDescent="0.25">
      <c r="A30" s="13" t="s">
        <v>106</v>
      </c>
      <c r="B30" s="14">
        <v>41059</v>
      </c>
      <c r="C30" s="13" t="s">
        <v>107</v>
      </c>
      <c r="D30" t="str">
        <f t="shared" si="5"/>
        <v>Banque</v>
      </c>
      <c r="E30" t="str">
        <f t="shared" si="6"/>
        <v>-</v>
      </c>
      <c r="F30" s="9">
        <f t="shared" si="3"/>
        <v>105.2</v>
      </c>
      <c r="G30" s="9">
        <f t="shared" si="4"/>
        <v>0</v>
      </c>
      <c r="H30" s="16"/>
      <c r="I30" s="16"/>
      <c r="J30" s="16">
        <v>105.2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3.2" x14ac:dyDescent="0.25">
      <c r="A31" s="13" t="s">
        <v>80</v>
      </c>
      <c r="B31" s="14">
        <v>41067</v>
      </c>
      <c r="C31" s="13" t="s">
        <v>108</v>
      </c>
      <c r="D31" t="str">
        <f t="shared" si="5"/>
        <v>Dettes fournisseur</v>
      </c>
      <c r="E31" t="str">
        <f t="shared" si="6"/>
        <v>BanqueRevenus autres</v>
      </c>
      <c r="F31" s="9">
        <f t="shared" si="3"/>
        <v>12283.2</v>
      </c>
      <c r="G31" s="9">
        <f t="shared" si="4"/>
        <v>12388.400000000001</v>
      </c>
      <c r="H31" s="16"/>
      <c r="I31" s="16"/>
      <c r="J31" s="16"/>
      <c r="K31" s="16">
        <v>12283.2</v>
      </c>
      <c r="L31" s="16"/>
      <c r="M31" s="16"/>
      <c r="N31" s="16"/>
      <c r="O31" s="16"/>
      <c r="P31" s="16"/>
      <c r="Q31" s="16"/>
      <c r="R31" s="16">
        <v>12283.2</v>
      </c>
      <c r="S31" s="16"/>
      <c r="T31" s="16"/>
      <c r="U31" s="16"/>
      <c r="V31" s="16"/>
      <c r="W31" s="16"/>
      <c r="X31" s="16"/>
      <c r="Y31" s="16"/>
      <c r="Z31" s="16"/>
      <c r="AA31" s="16">
        <v>105.2</v>
      </c>
      <c r="AB31" s="16"/>
      <c r="AC31" s="16"/>
      <c r="AD31" s="16"/>
      <c r="AE31" s="16"/>
      <c r="AF31" s="16"/>
      <c r="AG31" s="16"/>
      <c r="AH31" s="16"/>
      <c r="AI31" s="16"/>
    </row>
    <row r="32" spans="1:35" ht="13.2" x14ac:dyDescent="0.25">
      <c r="A32" s="13" t="s">
        <v>109</v>
      </c>
      <c r="B32" s="14">
        <v>41256</v>
      </c>
      <c r="C32" s="13" t="s">
        <v>110</v>
      </c>
      <c r="D32" t="str">
        <f t="shared" si="5"/>
        <v>Banque</v>
      </c>
      <c r="E32" t="str">
        <f t="shared" si="6"/>
        <v>Créances</v>
      </c>
      <c r="F32" s="9">
        <f t="shared" si="3"/>
        <v>500</v>
      </c>
      <c r="G32" s="9">
        <f t="shared" si="4"/>
        <v>500</v>
      </c>
      <c r="H32" s="16"/>
      <c r="I32" s="16"/>
      <c r="J32" s="16">
        <v>500</v>
      </c>
      <c r="K32" s="16"/>
      <c r="L32" s="16"/>
      <c r="M32" s="16">
        <v>500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ht="13.2" x14ac:dyDescent="0.25">
      <c r="A33" s="13" t="s">
        <v>106</v>
      </c>
      <c r="B33" s="14">
        <v>41274</v>
      </c>
      <c r="C33" s="13" t="s">
        <v>111</v>
      </c>
      <c r="D33" t="str">
        <f t="shared" si="5"/>
        <v>-</v>
      </c>
      <c r="E33" t="str">
        <f t="shared" si="6"/>
        <v>Stock</v>
      </c>
      <c r="F33" s="9">
        <f t="shared" si="3"/>
        <v>0</v>
      </c>
      <c r="G33" s="9">
        <f t="shared" si="4"/>
        <v>100</v>
      </c>
      <c r="H33" s="16"/>
      <c r="I33" s="16"/>
      <c r="J33" s="16"/>
      <c r="K33" s="16"/>
      <c r="L33" s="16"/>
      <c r="M33" s="16"/>
      <c r="N33" s="16"/>
      <c r="O33" s="16">
        <v>100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ht="13.2" x14ac:dyDescent="0.25">
      <c r="A34" s="13" t="s">
        <v>112</v>
      </c>
      <c r="B34" s="14">
        <v>41295</v>
      </c>
      <c r="C34" s="13" t="s">
        <v>113</v>
      </c>
      <c r="D34" t="str">
        <f t="shared" si="5"/>
        <v>Banque</v>
      </c>
      <c r="E34" t="str">
        <f t="shared" si="6"/>
        <v>CréancesRevenus autres</v>
      </c>
      <c r="F34" s="9">
        <f t="shared" si="3"/>
        <v>6000</v>
      </c>
      <c r="G34" s="9">
        <f t="shared" si="4"/>
        <v>6000</v>
      </c>
      <c r="H34" s="16"/>
      <c r="I34" s="16"/>
      <c r="J34" s="16">
        <v>6000</v>
      </c>
      <c r="K34" s="16"/>
      <c r="L34" s="16"/>
      <c r="M34" s="16">
        <v>5204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>
        <v>796</v>
      </c>
      <c r="AB34" s="16"/>
      <c r="AC34" s="16"/>
      <c r="AD34" s="16"/>
      <c r="AE34" s="16"/>
      <c r="AF34" s="16"/>
      <c r="AG34" s="16"/>
      <c r="AH34" s="16"/>
      <c r="AI34" s="16"/>
    </row>
    <row r="35" spans="1:35" ht="13.2" x14ac:dyDescent="0.25">
      <c r="A35" s="13" t="s">
        <v>114</v>
      </c>
      <c r="B35" s="14">
        <v>41358</v>
      </c>
      <c r="C35" s="13" t="s">
        <v>108</v>
      </c>
      <c r="D35" t="str">
        <f t="shared" si="5"/>
        <v>Dettes fournisseur</v>
      </c>
      <c r="E35" t="str">
        <f t="shared" si="6"/>
        <v>BanqueCréances</v>
      </c>
      <c r="F35" s="9">
        <f t="shared" si="3"/>
        <v>7000.65</v>
      </c>
      <c r="G35" s="9">
        <f t="shared" si="4"/>
        <v>7000.65</v>
      </c>
      <c r="H35" s="16"/>
      <c r="I35" s="16"/>
      <c r="J35" s="16"/>
      <c r="K35" s="16">
        <v>6500.65</v>
      </c>
      <c r="L35" s="16"/>
      <c r="M35" s="16">
        <v>500</v>
      </c>
      <c r="N35" s="16"/>
      <c r="O35" s="16"/>
      <c r="P35" s="16"/>
      <c r="Q35" s="16"/>
      <c r="R35" s="16">
        <v>7000.65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</sheetData>
  <mergeCells count="28"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AF2:AG2"/>
    <mergeCell ref="AH2:AI2"/>
    <mergeCell ref="AB1:AC1"/>
    <mergeCell ref="AD1:AE1"/>
    <mergeCell ref="AF1:AG1"/>
    <mergeCell ref="AH1:AI1"/>
    <mergeCell ref="AB2:AC2"/>
    <mergeCell ref="AD2:A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baseColWidth="10" defaultColWidth="10.88671875" defaultRowHeight="15" customHeight="1" x14ac:dyDescent="0.25"/>
  <cols>
    <col min="1" max="1" width="35" customWidth="1"/>
    <col min="2" max="2" width="10.88671875" hidden="1" customWidth="1"/>
    <col min="3" max="3" width="0" hidden="1" customWidth="1"/>
    <col min="4" max="4" width="12.109375" hidden="1" customWidth="1"/>
    <col min="5" max="5" width="0" hidden="1" customWidth="1"/>
    <col min="6" max="6" width="18.44140625" customWidth="1"/>
    <col min="7" max="7" width="1.77734375" customWidth="1"/>
    <col min="8" max="8" width="20.109375" customWidth="1"/>
    <col min="9" max="9" width="1.77734375" customWidth="1"/>
    <col min="10" max="10" width="17" customWidth="1"/>
    <col min="11" max="11" width="1.77734375" style="48" customWidth="1"/>
  </cols>
  <sheetData>
    <row r="1" spans="1:11" ht="15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13.8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1" ht="15.6" x14ac:dyDescent="0.3">
      <c r="A3" s="2" t="s">
        <v>1</v>
      </c>
      <c r="B3" s="10"/>
      <c r="C3" s="10"/>
      <c r="D3" s="10"/>
      <c r="E3" s="5"/>
      <c r="F3" s="8"/>
      <c r="G3" s="5"/>
      <c r="H3" s="8"/>
      <c r="I3" s="5"/>
      <c r="J3" s="8"/>
    </row>
    <row r="4" spans="1:11" ht="15.6" x14ac:dyDescent="0.3">
      <c r="A4" s="2"/>
      <c r="B4" s="10"/>
      <c r="C4" s="10"/>
      <c r="D4" s="10"/>
      <c r="E4" s="5"/>
      <c r="F4" s="40" t="str">
        <f ca="1">31&amp;" "&amp;"jan. "&amp;(YEAR(TODAY())-1)</f>
        <v>31 jan. 2014</v>
      </c>
      <c r="G4" s="41"/>
      <c r="H4" s="53" t="s">
        <v>117</v>
      </c>
      <c r="I4" s="41"/>
      <c r="J4" s="46" t="str">
        <f ca="1">31&amp;" "&amp;"mar. "&amp;(YEAR(TODAY())-1)</f>
        <v>31 mar. 2014</v>
      </c>
      <c r="K4" s="46"/>
    </row>
    <row r="5" spans="1:11" ht="15.6" x14ac:dyDescent="0.3">
      <c r="A5" s="35" t="s">
        <v>2</v>
      </c>
      <c r="B5" s="36">
        <v>41042</v>
      </c>
      <c r="C5" s="37"/>
      <c r="D5" s="36">
        <v>41053</v>
      </c>
      <c r="E5" s="35"/>
      <c r="F5" s="38"/>
      <c r="G5" s="38"/>
      <c r="H5" s="54"/>
      <c r="I5" s="38"/>
      <c r="J5" s="38"/>
      <c r="K5" s="49"/>
    </row>
    <row r="6" spans="1:11" ht="15.6" x14ac:dyDescent="0.3">
      <c r="A6" s="5" t="s">
        <v>3</v>
      </c>
      <c r="B6" s="5">
        <v>12440</v>
      </c>
      <c r="C6" s="5"/>
      <c r="D6" s="5">
        <v>9204</v>
      </c>
      <c r="E6" s="4"/>
      <c r="F6" s="51">
        <v>1039.7</v>
      </c>
      <c r="G6" t="str">
        <f t="shared" ref="G6:G15" si="0">IF(F6&lt;0,")","")</f>
        <v/>
      </c>
      <c r="H6" s="55">
        <f>J6-F6</f>
        <v>10654.45</v>
      </c>
      <c r="I6" s="5"/>
      <c r="J6" s="42">
        <f>OPERATIONS!H2+OPERATIONS!J2</f>
        <v>11694.150000000001</v>
      </c>
      <c r="K6" s="48" t="str">
        <f t="shared" ref="K6:K15" si="1">IF(J6&lt;0,")","")</f>
        <v/>
      </c>
    </row>
    <row r="7" spans="1:11" ht="15.6" x14ac:dyDescent="0.3">
      <c r="A7" s="5" t="s">
        <v>4</v>
      </c>
      <c r="B7" s="5"/>
      <c r="C7" s="5"/>
      <c r="D7" s="5">
        <v>100</v>
      </c>
      <c r="E7" s="5"/>
      <c r="F7" s="51">
        <v>5204</v>
      </c>
      <c r="G7" t="str">
        <f t="shared" si="0"/>
        <v/>
      </c>
      <c r="H7" s="55">
        <f t="shared" ref="H7:H9" si="2">J7-F7</f>
        <v>-2918</v>
      </c>
      <c r="I7" s="4"/>
      <c r="J7" s="42">
        <f>OPERATIONS!L2</f>
        <v>2286</v>
      </c>
      <c r="K7" s="48" t="str">
        <f t="shared" si="1"/>
        <v/>
      </c>
    </row>
    <row r="8" spans="1:11" ht="15.6" x14ac:dyDescent="0.3">
      <c r="A8" s="5" t="s">
        <v>5</v>
      </c>
      <c r="B8" s="3"/>
      <c r="C8" s="5"/>
      <c r="D8" s="3">
        <v>0</v>
      </c>
      <c r="E8" s="5"/>
      <c r="F8" s="51">
        <v>0</v>
      </c>
      <c r="G8" t="str">
        <f t="shared" si="0"/>
        <v/>
      </c>
      <c r="H8" s="55">
        <f t="shared" si="2"/>
        <v>-100</v>
      </c>
      <c r="I8" s="5"/>
      <c r="J8" s="42">
        <f>OPERATIONS!N2</f>
        <v>-100</v>
      </c>
      <c r="K8" s="48" t="str">
        <f t="shared" si="1"/>
        <v>)</v>
      </c>
    </row>
    <row r="9" spans="1:11" ht="15" customHeight="1" x14ac:dyDescent="0.35">
      <c r="A9" s="5" t="s">
        <v>6</v>
      </c>
      <c r="B9" s="7" t="e">
        <f>#REF!+B6</f>
        <v>#REF!</v>
      </c>
      <c r="C9" s="5"/>
      <c r="D9" s="7">
        <v>28183.5</v>
      </c>
      <c r="E9" s="5"/>
      <c r="F9" s="52">
        <v>0</v>
      </c>
      <c r="G9" t="str">
        <f t="shared" si="0"/>
        <v/>
      </c>
      <c r="H9" s="56">
        <f t="shared" si="2"/>
        <v>0</v>
      </c>
      <c r="I9" s="5"/>
      <c r="J9" s="43">
        <f>OPERATIONS!P2</f>
        <v>0</v>
      </c>
      <c r="K9" s="48" t="str">
        <f t="shared" si="1"/>
        <v/>
      </c>
    </row>
    <row r="10" spans="1:11" ht="16.2" x14ac:dyDescent="0.35">
      <c r="A10" s="5" t="s">
        <v>7</v>
      </c>
      <c r="B10" s="5"/>
      <c r="C10" s="5"/>
      <c r="D10" s="5"/>
      <c r="E10" s="5"/>
      <c r="F10" s="44">
        <f>SUM(F6:F9)</f>
        <v>6243.7</v>
      </c>
      <c r="G10" t="str">
        <f t="shared" si="0"/>
        <v/>
      </c>
      <c r="H10" s="55">
        <f>J10-F10</f>
        <v>7636.4500000000016</v>
      </c>
      <c r="I10" s="5"/>
      <c r="J10" s="44">
        <f>SUM(J6:J9)</f>
        <v>13880.150000000001</v>
      </c>
      <c r="K10" s="48" t="str">
        <f t="shared" si="1"/>
        <v/>
      </c>
    </row>
    <row r="11" spans="1:11" ht="15.6" x14ac:dyDescent="0.3">
      <c r="A11" s="5"/>
      <c r="B11" s="5">
        <v>0</v>
      </c>
      <c r="C11" s="5"/>
      <c r="D11" s="5">
        <v>0</v>
      </c>
      <c r="E11" s="5"/>
      <c r="F11" s="42"/>
      <c r="H11" s="57"/>
      <c r="I11" s="5"/>
      <c r="J11" s="42"/>
    </row>
    <row r="12" spans="1:11" ht="15.6" x14ac:dyDescent="0.3">
      <c r="A12" s="5" t="s">
        <v>8</v>
      </c>
      <c r="B12" s="5">
        <v>28200.094000000001</v>
      </c>
      <c r="C12" s="5"/>
      <c r="D12" s="5">
        <v>28103.9</v>
      </c>
      <c r="E12" s="4"/>
      <c r="F12" s="51">
        <v>0</v>
      </c>
      <c r="G12" t="str">
        <f t="shared" si="0"/>
        <v/>
      </c>
      <c r="H12" s="55">
        <f t="shared" ref="H12:H15" si="3">J12-F12</f>
        <v>0</v>
      </c>
      <c r="I12" s="5"/>
      <c r="J12" s="42">
        <v>0</v>
      </c>
      <c r="K12" s="48" t="str">
        <f t="shared" si="1"/>
        <v/>
      </c>
    </row>
    <row r="13" spans="1:11" ht="15.6" x14ac:dyDescent="0.3">
      <c r="A13" s="5" t="s">
        <v>9</v>
      </c>
      <c r="B13" s="3">
        <v>1538.11</v>
      </c>
      <c r="C13" s="5"/>
      <c r="D13" s="3">
        <v>79.599999999999994</v>
      </c>
      <c r="E13" s="5"/>
      <c r="F13" s="51">
        <v>6134.35</v>
      </c>
      <c r="G13" t="str">
        <f t="shared" si="0"/>
        <v/>
      </c>
      <c r="H13" s="55">
        <f t="shared" si="3"/>
        <v>-7349.35</v>
      </c>
      <c r="I13" s="4"/>
      <c r="J13" s="42">
        <f>OPERATIONS!R2</f>
        <v>-1215</v>
      </c>
      <c r="K13" s="48" t="str">
        <f t="shared" si="1"/>
        <v>)</v>
      </c>
    </row>
    <row r="14" spans="1:11" ht="15" customHeight="1" x14ac:dyDescent="0.35">
      <c r="A14" s="5" t="s">
        <v>10</v>
      </c>
      <c r="B14" s="7">
        <f>(B12+B11)+B13</f>
        <v>29738.204000000002</v>
      </c>
      <c r="C14" s="5"/>
      <c r="D14" s="7">
        <v>28183.5</v>
      </c>
      <c r="E14" s="5"/>
      <c r="F14" s="52">
        <v>109.35</v>
      </c>
      <c r="G14" t="str">
        <f t="shared" si="0"/>
        <v/>
      </c>
      <c r="H14" s="56">
        <f t="shared" si="3"/>
        <v>14385.800000000001</v>
      </c>
      <c r="I14" s="5"/>
      <c r="J14" s="43">
        <f>J25+OPERATIONS!T2</f>
        <v>14495.150000000001</v>
      </c>
      <c r="K14" s="48" t="str">
        <f t="shared" si="1"/>
        <v/>
      </c>
    </row>
    <row r="15" spans="1:11" ht="16.2" x14ac:dyDescent="0.35">
      <c r="A15" s="5" t="s">
        <v>11</v>
      </c>
      <c r="B15" s="5"/>
      <c r="C15" s="5"/>
      <c r="D15" s="5"/>
      <c r="E15" s="5"/>
      <c r="F15" s="44">
        <f>SUM(F12:F14)</f>
        <v>6243.7000000000007</v>
      </c>
      <c r="G15" t="str">
        <f t="shared" si="0"/>
        <v/>
      </c>
      <c r="H15" s="55">
        <f t="shared" si="3"/>
        <v>7036.4500000000007</v>
      </c>
      <c r="I15" s="5"/>
      <c r="J15" s="44">
        <f>SUM(J12:J14)</f>
        <v>13280.150000000001</v>
      </c>
      <c r="K15" s="48" t="str">
        <f t="shared" si="1"/>
        <v/>
      </c>
    </row>
    <row r="16" spans="1:11" ht="15.6" x14ac:dyDescent="0.3">
      <c r="B16" s="6"/>
      <c r="C16" s="1"/>
      <c r="D16" s="1"/>
      <c r="E16" s="4"/>
      <c r="F16" s="42"/>
      <c r="H16" s="58"/>
      <c r="I16" s="5"/>
      <c r="J16" s="42"/>
    </row>
    <row r="17" spans="1:11" ht="15.6" x14ac:dyDescent="0.3">
      <c r="A17" s="35" t="s">
        <v>12</v>
      </c>
      <c r="B17" s="35">
        <v>11972.8</v>
      </c>
      <c r="C17" s="35"/>
      <c r="D17" s="35">
        <v>11646.8</v>
      </c>
      <c r="E17" s="35"/>
      <c r="F17" s="45"/>
      <c r="G17" s="45"/>
      <c r="H17" s="59"/>
      <c r="I17" s="39"/>
      <c r="J17" s="45"/>
      <c r="K17" s="50"/>
    </row>
    <row r="18" spans="1:11" ht="15.6" x14ac:dyDescent="0.3">
      <c r="A18" s="5" t="s">
        <v>13</v>
      </c>
      <c r="B18" s="5">
        <v>22665.599999999999</v>
      </c>
      <c r="C18" s="5"/>
      <c r="D18" s="5">
        <v>20990</v>
      </c>
      <c r="E18" s="5"/>
      <c r="F18" s="51">
        <v>11646.8</v>
      </c>
      <c r="G18" t="str">
        <f t="shared" ref="G18:G25" si="4">IF(F18&lt;0,")","")</f>
        <v/>
      </c>
      <c r="H18" s="58">
        <f>(OPERATIONS!V2+OPERATIONS!X2)-F18</f>
        <v>-373.99999999999818</v>
      </c>
      <c r="I18" s="5"/>
      <c r="J18" s="42">
        <f t="shared" ref="J18:J25" si="5">F18+H18</f>
        <v>11272.800000000001</v>
      </c>
      <c r="K18" s="48" t="str">
        <f t="shared" ref="K18:K25" si="6">IF(J18&lt;0,")","")</f>
        <v/>
      </c>
    </row>
    <row r="19" spans="1:11" ht="15.6" x14ac:dyDescent="0.3">
      <c r="A19" s="5" t="s">
        <v>14</v>
      </c>
      <c r="B19" s="5">
        <v>1204.2</v>
      </c>
      <c r="C19" s="5"/>
      <c r="D19" s="5">
        <v>9087.7000000000007</v>
      </c>
      <c r="E19" s="5"/>
      <c r="F19" s="51">
        <v>21095.200000000001</v>
      </c>
      <c r="G19" t="str">
        <f t="shared" si="4"/>
        <v/>
      </c>
      <c r="H19" s="58">
        <f>OPERATIONS!Z2-F19</f>
        <v>196</v>
      </c>
      <c r="I19" s="5"/>
      <c r="J19" s="42">
        <f t="shared" si="5"/>
        <v>21291.200000000001</v>
      </c>
      <c r="K19" s="48" t="str">
        <f t="shared" si="6"/>
        <v/>
      </c>
    </row>
    <row r="20" spans="1:11" ht="15.6" x14ac:dyDescent="0.3">
      <c r="A20" s="5" t="s">
        <v>15</v>
      </c>
      <c r="B20" s="5">
        <v>3800</v>
      </c>
      <c r="C20" s="5"/>
      <c r="D20" s="5">
        <v>8248.4</v>
      </c>
      <c r="E20" s="5"/>
      <c r="F20" s="51">
        <v>9087.7000000000007</v>
      </c>
      <c r="G20" t="str">
        <f t="shared" si="4"/>
        <v/>
      </c>
      <c r="H20" s="58">
        <f>(OPERATIONS!AB2+OPERATIONS!AD2)-F20</f>
        <v>-5435.4500000000007</v>
      </c>
      <c r="I20" s="5"/>
      <c r="J20" s="42">
        <f t="shared" si="5"/>
        <v>3652.25</v>
      </c>
      <c r="K20" s="48" t="str">
        <f t="shared" si="6"/>
        <v/>
      </c>
    </row>
    <row r="21" spans="1:11" ht="15.6" x14ac:dyDescent="0.3">
      <c r="A21" s="5" t="s">
        <v>16</v>
      </c>
      <c r="B21" s="5">
        <v>1800</v>
      </c>
      <c r="C21" s="5"/>
      <c r="D21" s="5">
        <v>0</v>
      </c>
      <c r="E21" s="5"/>
      <c r="F21" s="51">
        <v>8248.4</v>
      </c>
      <c r="G21" t="str">
        <f t="shared" si="4"/>
        <v/>
      </c>
      <c r="H21" s="58">
        <f>OPERATIONS!AF2-F21</f>
        <v>-5630</v>
      </c>
      <c r="I21" s="5"/>
      <c r="J21" s="42">
        <f t="shared" si="5"/>
        <v>2618.3999999999996</v>
      </c>
      <c r="K21" s="48" t="str">
        <f t="shared" si="6"/>
        <v/>
      </c>
    </row>
    <row r="22" spans="1:11" ht="15.6" x14ac:dyDescent="0.3">
      <c r="A22" s="5" t="s">
        <v>17</v>
      </c>
      <c r="B22" s="5">
        <v>500</v>
      </c>
      <c r="C22" s="5"/>
      <c r="D22" s="5">
        <v>0</v>
      </c>
      <c r="E22" s="5"/>
      <c r="F22" s="51">
        <v>0</v>
      </c>
      <c r="G22" t="str">
        <f t="shared" si="4"/>
        <v/>
      </c>
      <c r="H22" s="58">
        <v>0</v>
      </c>
      <c r="I22" s="5"/>
      <c r="J22" s="42">
        <f t="shared" si="5"/>
        <v>0</v>
      </c>
      <c r="K22" s="48" t="str">
        <f t="shared" si="6"/>
        <v/>
      </c>
    </row>
    <row r="23" spans="1:11" ht="15.6" x14ac:dyDescent="0.3">
      <c r="A23" s="5" t="s">
        <v>18</v>
      </c>
      <c r="B23" s="3">
        <v>25796.09</v>
      </c>
      <c r="C23" s="5"/>
      <c r="D23" s="3">
        <v>15221.1</v>
      </c>
      <c r="E23" s="4"/>
      <c r="F23" s="51">
        <v>0</v>
      </c>
      <c r="G23" t="str">
        <f t="shared" si="4"/>
        <v/>
      </c>
      <c r="H23" s="58">
        <v>0</v>
      </c>
      <c r="I23" s="5"/>
      <c r="J23" s="42">
        <f t="shared" si="5"/>
        <v>0</v>
      </c>
      <c r="K23" s="48" t="str">
        <f t="shared" si="6"/>
        <v/>
      </c>
    </row>
    <row r="24" spans="1:11" ht="15" customHeight="1" x14ac:dyDescent="0.35">
      <c r="A24" s="5" t="s">
        <v>19</v>
      </c>
      <c r="B24" s="7">
        <f>B13</f>
        <v>1538.11</v>
      </c>
      <c r="C24" s="5"/>
      <c r="D24" s="7">
        <v>79.600000000002197</v>
      </c>
      <c r="E24" s="5"/>
      <c r="F24" s="52">
        <v>15296.55</v>
      </c>
      <c r="G24" t="str">
        <f t="shared" si="4"/>
        <v/>
      </c>
      <c r="H24" s="60">
        <f>OPERATIONS!AH2-F24</f>
        <v>-3498.3499999999985</v>
      </c>
      <c r="I24" s="4"/>
      <c r="J24" s="43">
        <f t="shared" si="5"/>
        <v>11798.2</v>
      </c>
      <c r="K24" s="48" t="str">
        <f t="shared" si="6"/>
        <v/>
      </c>
    </row>
    <row r="25" spans="1:11" ht="15" customHeight="1" x14ac:dyDescent="0.35">
      <c r="A25" s="5" t="s">
        <v>10</v>
      </c>
      <c r="F25" s="44">
        <v>109.35</v>
      </c>
      <c r="G25" t="str">
        <f t="shared" si="4"/>
        <v/>
      </c>
      <c r="H25" s="61">
        <f>(((((H18+H19)-H20)-H21)-H22)-H23)-H24</f>
        <v>14385.800000000001</v>
      </c>
      <c r="I25" s="5"/>
      <c r="J25" s="44">
        <f t="shared" si="5"/>
        <v>14495.150000000001</v>
      </c>
      <c r="K25" s="48" t="str">
        <f t="shared" si="6"/>
        <v/>
      </c>
    </row>
  </sheetData>
  <mergeCells count="2">
    <mergeCell ref="A1:J1"/>
    <mergeCell ref="J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CAISSE</vt:lpstr>
      <vt:lpstr>OPERATIONS</vt:lpstr>
      <vt:lpstr>BILAN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MELO ANTOINE</cp:lastModifiedBy>
  <dcterms:modified xsi:type="dcterms:W3CDTF">2015-03-05T09:46:29Z</dcterms:modified>
</cp:coreProperties>
</file>